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drawing1.xml" ContentType="application/vnd.openxmlformats-officedocument.drawing+xml"/>
  <Override PartName="/xl/drawings/vmlDrawing5.vml" ContentType="application/vnd.openxmlformats-officedocument.vmlDrawing"/>
  <Override PartName="/xl/drawings/drawing2.xml" ContentType="application/vnd.openxmlformats-officedocument.drawing+xml"/>
  <Override PartName="/xl/drawings/vmlDrawing6.vml" ContentType="application/vnd.openxmlformats-officedocument.vmlDrawing"/>
  <Override PartName="/xl/drawings/drawing3.xml" ContentType="application/vnd.openxmlformats-officedocument.drawing+xml"/>
  <Override PartName="/xl/drawings/vmlDrawing7.vml" ContentType="application/vnd.openxmlformats-officedocument.vmlDrawing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ey" sheetId="1" state="visible" r:id="rId2"/>
    <sheet name="Scenarios 1-2" sheetId="2" state="visible" r:id="rId3"/>
    <sheet name="Scenarios 3-4" sheetId="3" state="visible" r:id="rId4"/>
    <sheet name="Scenarios 5-6" sheetId="4" state="visible" r:id="rId5"/>
    <sheet name="Data Scenarios 1-2" sheetId="5" state="visible" r:id="rId6"/>
    <sheet name="Data Scenarios 3-4" sheetId="6" state="visible" r:id="rId7"/>
    <sheet name="Data Scenarios 5-6" sheetId="7" state="visible" r:id="rId8"/>
    <sheet name="Sheet8" sheetId="8" state="visible" r:id="rId9"/>
  </sheets>
  <definedNames>
    <definedName function="false" hidden="true" localSheetId="4" name="_xlnm._FilterDatabase" vbProcedure="false">'Data Scenarios 1-2'!$A$1:$BY$1056</definedName>
    <definedName function="false" hidden="true" localSheetId="5" name="_xlnm._FilterDatabase" vbProcedure="false">'Data Scenarios 3-4'!$A$1:$BY$1056</definedName>
    <definedName function="false" hidden="true" localSheetId="6" name="_xlnm._FilterDatabase" vbProcedure="false">'Data Scenarios 5-6'!$A$1:$CF$1056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Correcting heater outputs. (Setting output DC power to 0W)
	-Avpreet Singh Othee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D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A
See 'Resistor Values' spreadsheet</t>
        </r>
      </text>
    </comment>
    <comment ref="B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BZ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BZ10" authorId="0">
      <text>
        <r>
          <rPr>
            <sz val="10"/>
            <color rgb="FF000000"/>
            <rFont val="Arial"/>
            <family val="0"/>
            <charset val="1"/>
          </rPr>
          <t xml:space="preserve">10Ω Resistor A
See 'Resistor Values' spreadsheet</t>
        </r>
      </text>
    </comment>
    <comment ref="BZ11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A
See 'Resistor Values' spreadsheet</t>
        </r>
      </text>
    </comment>
    <comment ref="C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B
See 'Resistor Values' spreadsheet</t>
        </r>
      </text>
    </comment>
    <comment ref="CD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D10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D11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B
See 'Resistor Values' spreadsheet</t>
        </r>
      </text>
    </comment>
    <comment ref="C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H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6" authorId="0">
      <text>
        <r>
          <rPr>
            <sz val="10"/>
            <color rgb="FF000000"/>
            <rFont val="Arial"/>
            <family val="0"/>
            <charset val="1"/>
          </rPr>
          <t xml:space="preserve">10Ω Resistor C
See 'Resistor Values' spreadsheet</t>
        </r>
      </text>
    </comment>
    <comment ref="CH7" authorId="0">
      <text>
        <r>
          <rPr>
            <sz val="10"/>
            <color rgb="FF000000"/>
            <rFont val="Arial"/>
            <family val="0"/>
            <charset val="1"/>
          </rPr>
          <t xml:space="preserve">5.6Ω Resistor C
See 'Resistor Values' spreadsheet</t>
        </r>
      </text>
    </comment>
    <comment ref="CH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H9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0" authorId="0">
      <text>
        <r>
          <rPr>
            <sz val="10"/>
            <color rgb="FF000000"/>
            <rFont val="Arial"/>
            <family val="0"/>
            <charset val="1"/>
          </rPr>
          <t xml:space="preserve">3.9Ω Resistor C
See 'Resistor Values' spreadsheet</t>
        </r>
      </text>
    </comment>
    <comment ref="CH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 Provided for cross-check ONLY.</t>
        </r>
      </text>
    </comment>
    <comment ref="C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CY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CZ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8" authorId="0">
      <text>
        <r>
          <rPr>
            <sz val="10"/>
            <color rgb="FF000000"/>
            <rFont val="Arial"/>
            <family val="0"/>
            <charset val="1"/>
          </rPr>
          <t xml:space="preserve">Avpreet:
</t>
        </r>
        <r>
          <rPr>
            <sz val="9"/>
            <color rgb="FF000000"/>
            <rFont val="Tahoma"/>
            <family val="2"/>
            <charset val="1"/>
          </rPr>
          <t xml:space="preserve">using OFFSET() to set references</t>
        </r>
      </text>
    </commen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Q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U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Y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C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E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G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I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K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M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O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Q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S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AU3" authorId="0">
      <text>
        <r>
          <rPr>
            <sz val="10"/>
            <color rgb="FF000000"/>
            <rFont val="Arial"/>
            <family val="0"/>
            <charset val="1"/>
          </rPr>
          <t xml:space="preserve">Equivalent conductance, per series admittance model.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W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This is a more reliable power measurement method than the V^2/R calculation because heater power draw is known to vary slightly in response to controls. Calculated heater power is retained as a cross-check ONLY.</t>
        </r>
      </text>
    </comment>
    <comment ref="BA3" authorId="0">
      <text>
        <r>
          <rPr>
            <sz val="10"/>
            <color rgb="FF000000"/>
            <rFont val="Arial"/>
            <family val="0"/>
            <charset val="1"/>
          </rPr>
          <t xml:space="preserve">In updated experiments, heater power was measured directly using WEMO smart plugs. Calculated total output power uses less reliable V^/R power calculations for heaters and is retained as a cross-check ONLY.</t>
        </r>
      </text>
    </comment>
    <comment ref="BB2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B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B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N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C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H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J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J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L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N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N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N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R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6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7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R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R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T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V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V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V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X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CZ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Z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CZ11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B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D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7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D9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0" authorId="0">
      <text>
        <r>
          <rPr>
            <sz val="10"/>
            <color rgb="FF000000"/>
            <rFont val="Arial"/>
            <family val="0"/>
            <charset val="1"/>
          </rPr>
          <t xml:space="preserve">See 'Resistor Values' spreadsheet</t>
        </r>
      </text>
    </comment>
    <comment ref="DD11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F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 updated experiments, heater power was measured directly using WEMO smart plugs. This is a more reliable power measurement method than the V^2/R calculation because heater power draw is known to vary slightly in response to controls. Calculated heater power variance is retained as a cross-check ONLY.</t>
        </r>
      </text>
    </comment>
    <comment ref="D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ALL loads. (For scenarios 3-4, calculated individual load variances are provided for reference only; measured variances are more trustworthy.) Provided for cross-check ONLY.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Provided for cross-check ONLY.</t>
        </r>
      </text>
    </comment>
    <comment ref="DR14" authorId="0">
      <text>
        <r>
          <rPr>
            <sz val="10"/>
            <color rgb="FF000000"/>
            <rFont val="Arial"/>
            <family val="0"/>
            <charset val="1"/>
          </rPr>
          <t xml:space="preserve">For Scenarios 3-4, independent calculations of converter loss and total system loss are not performed due to the known inaccuracy of V^2/R power calculation for heaters. Use the measured values.</t>
        </r>
      </text>
    </comment>
    <comment ref="DU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DV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E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I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4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M8" authorId="0">
      <text>
        <r>
          <rPr>
            <sz val="10"/>
            <color rgb="FF000000"/>
            <rFont val="Arial"/>
            <family val="0"/>
            <charset val="1"/>
          </rPr>
          <t xml:space="preserve">Setting to zero</t>
        </r>
      </text>
    </comment>
    <comment ref="AA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A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A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E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E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E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AI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I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I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AM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M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M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A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Q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A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U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A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A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AY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A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BP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P5" authorId="0">
      <text>
        <r>
          <rPr>
            <sz val="10"/>
            <color rgb="FF000000"/>
            <rFont val="Arial"/>
            <family val="0"/>
            <charset val="1"/>
          </rPr>
          <t xml:space="preserve">SQRT argument is a small negative number, yielding NaN. Rounding off to zero with MAX function to allow the calculation to work.
	-Stephen Frank
This is true for data sets 5.2, 5.3, 5.4
	-Stephen Frank</t>
        </r>
      </text>
    </comment>
    <comment ref="B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BZ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B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B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J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L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L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O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Includes covariances for P=V*I loads</t>
        </r>
      </text>
    </comment>
    <comment ref="CQ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5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Q9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Q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1A
See 'Resistor Values' spreadsheet</t>
        </r>
      </text>
    </comment>
    <comment ref="CS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U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U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U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1B
See 'Resistor Values' spreadsheet</t>
        </r>
      </text>
    </comment>
    <comment ref="C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CY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CY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CY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1C
See 'Resistor Values' spreadsheet</t>
        </r>
      </text>
    </comment>
    <comment ref="D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C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6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C10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C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1D
See 'Resistor Values' spreadsheet</t>
        </r>
      </text>
    </comment>
    <comment ref="DE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G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G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G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1E
See 'Resistor Values' spreadsheet</t>
        </r>
      </text>
    </comment>
    <comment ref="DI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K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K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K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1F
See 'Resistor Values' spreadsheet</t>
        </r>
      </text>
    </comment>
    <comment ref="DM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O4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5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6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7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O8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9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0" authorId="0">
      <text>
        <r>
          <rPr>
            <sz val="10"/>
            <color rgb="FF000000"/>
            <rFont val="Arial"/>
            <family val="0"/>
            <charset val="1"/>
          </rPr>
          <t xml:space="preserve">Open circuit</t>
        </r>
      </text>
    </comment>
    <comment ref="DO11" authorId="0">
      <text>
        <r>
          <rPr>
            <sz val="10"/>
            <color rgb="FF000000"/>
            <rFont val="Arial"/>
            <family val="0"/>
            <charset val="1"/>
          </rPr>
          <t xml:space="preserve">Small Resistor 1G
See 'Resistor Values' spreadsheet</t>
        </r>
      </text>
    </comment>
    <comment ref="DQ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</t>
        </r>
      </text>
    </comment>
    <comment ref="DU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measured variances for V*I loads, calculated variances for V²/R loads. Uses maximum of calculated or observed variance for P_out. Use instead of "measured" value in order to account for uncertainty in small load resistance.</t>
        </r>
      </text>
    </comment>
    <comment ref="DW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Provided for cross-check ONLY.</t>
        </r>
      </text>
    </comment>
    <comment ref="DY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A3" authorId="0">
      <text>
        <r>
          <rPr>
            <sz val="10"/>
            <color rgb="FF000000"/>
            <rFont val="Arial"/>
            <family val="0"/>
            <charset val="1"/>
          </rPr>
          <t xml:space="preserve">Ref: https://mathworld.wolfram.com/ErrorPropagation.html
Uses maximum of calculated or observed variance for P_out. Use instead of "measured" value in order to account for uncertainty in small load resistance.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Calculations follow eq. (7), (8), and (15) from doi:10.1016/j.jcp.2006.03.037.
Calculated assuming each run is an independent experiment that yields a single sample with estimate of all relevant quantities (the mean value). Thus, for three runs:
n = 3
ν = 3 - 1 = 2
Note this yields much larger confidence intervals than an alternative approach where each 5-second interval is considered a single experiment/sample.</t>
        </r>
      </text>
    </comment>
    <comment ref="EH3" authorId="0">
      <text>
        <r>
          <rPr>
            <sz val="10"/>
            <color rgb="FF000000"/>
            <rFont val="Arial"/>
            <family val="0"/>
            <charset val="1"/>
          </rPr>
          <t xml:space="preserve">Note that the sample standard deviation s(ΔP_in) = s(P_in), because the modeled value is fixed. Same for the other confidence interval calculations.</t>
        </r>
      </text>
    </comment>
    <comment ref="ET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  <comment ref="EX3" authorId="0">
      <text>
        <r>
          <rPr>
            <sz val="10"/>
            <color rgb="FF000000"/>
            <rFont val="Arial"/>
            <family val="0"/>
            <charset val="1"/>
          </rPr>
          <t xml:space="preserve">Uses the maximum of "measured" variance or independently estimated variance.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98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99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0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1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2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3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4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  <comment ref="D105" authorId="0">
      <text>
        <r>
          <rPr>
            <sz val="10"/>
            <color rgb="FF000000"/>
            <rFont val="Arial"/>
            <family val="0"/>
            <charset val="1"/>
          </rPr>
          <t xml:space="preserve">Covariance for load V, I measurements only, placed in independent columns</t>
        </r>
      </text>
    </comment>
  </commentList>
</comments>
</file>

<file path=xl/sharedStrings.xml><?xml version="1.0" encoding="utf-8"?>
<sst xmlns="http://schemas.openxmlformats.org/spreadsheetml/2006/main" count="1485" uniqueCount="334">
  <si>
    <t xml:space="preserve">Abbreviation</t>
  </si>
  <si>
    <t xml:space="preserve">Quantity</t>
  </si>
  <si>
    <t xml:space="preserve">Description</t>
  </si>
  <si>
    <t xml:space="preserve">P_in</t>
  </si>
  <si>
    <t xml:space="preserve">Input power</t>
  </si>
  <si>
    <t xml:space="preserve">Three-phase power measured at transformer high side (primary terminals)</t>
  </si>
  <si>
    <t xml:space="preserve">P_sec</t>
  </si>
  <si>
    <t xml:space="preserve">Transformer secondary power</t>
  </si>
  <si>
    <t xml:space="preserve">Three-phase power measured at transformer low side (secondary terminals)</t>
  </si>
  <si>
    <t xml:space="preserve">P_out</t>
  </si>
  <si>
    <t xml:space="preserve">Output power</t>
  </si>
  <si>
    <t xml:space="preserve">Total output power (sum of load powers)</t>
  </si>
  <si>
    <t xml:space="preserve">P_loss</t>
  </si>
  <si>
    <t xml:space="preserve">System loss</t>
  </si>
  <si>
    <t xml:space="preserve">Estimated system loss = P_in - P_out</t>
  </si>
  <si>
    <t xml:space="preserve">P_lossTran</t>
  </si>
  <si>
    <t xml:space="preserve">Transformer loss</t>
  </si>
  <si>
    <t xml:space="preserve">Estimated transformer loss = P_in - P_sec</t>
  </si>
  <si>
    <t xml:space="preserve">P_lossConv</t>
  </si>
  <si>
    <t xml:space="preserve">Converter loss</t>
  </si>
  <si>
    <t xml:space="preserve">Estimated converter loss = P_sec - P_out</t>
  </si>
  <si>
    <t xml:space="preserve">V_load</t>
  </si>
  <si>
    <t xml:space="preserve">Load voltage</t>
  </si>
  <si>
    <t xml:space="preserve">DC or AC (RMS) voltage measured at a load's terminals (each load)</t>
  </si>
  <si>
    <t xml:space="preserve">I_load</t>
  </si>
  <si>
    <t xml:space="preserve">Load current</t>
  </si>
  <si>
    <t xml:space="preserve">DC or AC (RMS) current measured at a load's terminals (each load)</t>
  </si>
  <si>
    <t xml:space="preserve">R_load</t>
  </si>
  <si>
    <t xml:space="preserve">Load resistance</t>
  </si>
  <si>
    <t xml:space="preserve">Fixed load resistance measured during characterization test (each load)</t>
  </si>
  <si>
    <t xml:space="preserve">P_load</t>
  </si>
  <si>
    <t xml:space="preserve">Load power</t>
  </si>
  <si>
    <t xml:space="preserve">Calculated load power (each load)</t>
  </si>
  <si>
    <t xml:space="preserve">σ(x)</t>
  </si>
  <si>
    <t xml:space="preserve">Standard deviation</t>
  </si>
  <si>
    <t xml:space="preserve">Experimental estimate of standard deviation for quantity x, calculated unless x was measured directly</t>
  </si>
  <si>
    <t xml:space="preserve">Calc: x</t>
  </si>
  <si>
    <t xml:space="preserve">Calculated value</t>
  </si>
  <si>
    <t xml:space="preserve">Calculated version of x, as a secondary check</t>
  </si>
  <si>
    <t xml:space="preserve">Scenarios 1-2: AC Balanced, Unbalanced</t>
  </si>
  <si>
    <t xml:space="preserve">Model Results</t>
  </si>
  <si>
    <t xml:space="preserve">Estimates of Error (90% Confidence Interval)</t>
  </si>
  <si>
    <t xml:space="preserve">Metadata</t>
  </si>
  <si>
    <t xml:space="preserve">Load: Laptop Charger 3</t>
  </si>
  <si>
    <t xml:space="preserve">Load: Laptop Charger 4</t>
  </si>
  <si>
    <t xml:space="preserve">Load: Laptop Charger 5</t>
  </si>
  <si>
    <t xml:space="preserve">Load: LED 1</t>
  </si>
  <si>
    <t xml:space="preserve">Load: LED 2</t>
  </si>
  <si>
    <t xml:space="preserve">Load: LED 3</t>
  </si>
  <si>
    <t xml:space="preserve">Load: PS1</t>
  </si>
  <si>
    <t xml:space="preserve">Load: PS2</t>
  </si>
  <si>
    <t xml:space="preserve">Load: PS3</t>
  </si>
  <si>
    <t xml:space="preserve">Input</t>
  </si>
  <si>
    <t xml:space="preserve">Trans. Secondary</t>
  </si>
  <si>
    <t xml:space="preserve">Output</t>
  </si>
  <si>
    <t xml:space="preserve">Loss</t>
  </si>
  <si>
    <t xml:space="preserve">Power Values</t>
  </si>
  <si>
    <t xml:space="preserve">Input Power: P_in</t>
  </si>
  <si>
    <t xml:space="preserve">Transformer Secondary Power: P_sec</t>
  </si>
  <si>
    <t xml:space="preserve">Transformer Loss: P_lossTran</t>
  </si>
  <si>
    <t xml:space="preserve">Converter Loss: P_lossConv</t>
  </si>
  <si>
    <t xml:space="preserve">System Loss: P_loss</t>
  </si>
  <si>
    <t xml:space="preserve">Data Set</t>
  </si>
  <si>
    <t xml:space="preserve">V_load [V]</t>
  </si>
  <si>
    <t xml:space="preserve">I_load [A]</t>
  </si>
  <si>
    <t xml:space="preserve">P_load [W]</t>
  </si>
  <si>
    <t xml:space="preserve">Calc: P_load [W]</t>
  </si>
  <si>
    <t xml:space="preserve">R_load [Ω]</t>
  </si>
  <si>
    <t xml:space="preserve">P_in [W]</t>
  </si>
  <si>
    <t xml:space="preserve">P_sec [W]</t>
  </si>
  <si>
    <t xml:space="preserve">P_out [W]</t>
  </si>
  <si>
    <t xml:space="preserve">Calc: P_out [W]</t>
  </si>
  <si>
    <t xml:space="preserve">P_lossTran [W]</t>
  </si>
  <si>
    <t xml:space="preserve">P_lossConv [W]</t>
  </si>
  <si>
    <t xml:space="preserve">Calc: P_lossConv [W]</t>
  </si>
  <si>
    <t xml:space="preserve">P_loss [W]</t>
  </si>
  <si>
    <t xml:space="preserve">Calc: P_loss [W]</t>
  </si>
  <si>
    <t xml:space="preserve">σ(V_load) [V]</t>
  </si>
  <si>
    <t xml:space="preserve">σ(I_load) [A]</t>
  </si>
  <si>
    <t xml:space="preserve">COV(V_load,I_load) [(VA)²]</t>
  </si>
  <si>
    <t xml:space="preserve">σ(P_load) [W]</t>
  </si>
  <si>
    <t xml:space="preserve">Calc: σ(P_load) [W]</t>
  </si>
  <si>
    <t xml:space="preserve">σ(R_load) [Ω]</t>
  </si>
  <si>
    <t xml:space="preserve">σ(P_in) [W]</t>
  </si>
  <si>
    <t xml:space="preserve">σ(P_sec) [W]</t>
  </si>
  <si>
    <t xml:space="preserve">σ(P_out) [W]</t>
  </si>
  <si>
    <t xml:space="preserve">Calc: σ(P_out) [W]</t>
  </si>
  <si>
    <t xml:space="preserve">σ(P_lossTran) [W]</t>
  </si>
  <si>
    <t xml:space="preserve">σ(P_lossConv) [W]</t>
  </si>
  <si>
    <t xml:space="preserve">Calc: σ(P_lossConv) [W]</t>
  </si>
  <si>
    <t xml:space="preserve">σ(P_loss) [W]</t>
  </si>
  <si>
    <t xml:space="preserve">Calc: σ(P_loss) [W]</t>
  </si>
  <si>
    <t xml:space="preserve">Est. ΔP_in [W]</t>
  </si>
  <si>
    <t xml:space="preserve">Conf. ΔP_in [W]</t>
  </si>
  <si>
    <t xml:space="preserve">Est. ΔP_in/P_in [%]</t>
  </si>
  <si>
    <t xml:space="preserve">Conf. ΔP_in/P_in [%]</t>
  </si>
  <si>
    <t xml:space="preserve">Est. ΔP_sec [W]</t>
  </si>
  <si>
    <t xml:space="preserve">Conf. ΔP_sec [W]</t>
  </si>
  <si>
    <t xml:space="preserve">Est. ΔP_sec/P_sec [%]</t>
  </si>
  <si>
    <t xml:space="preserve">Conf. ΔP_sec/P_sec [%]</t>
  </si>
  <si>
    <t xml:space="preserve">Est. ΔP_lossTran [W]</t>
  </si>
  <si>
    <t xml:space="preserve">Conf. ΔP_lossTran [W]</t>
  </si>
  <si>
    <t xml:space="preserve">Est. ΔP_lossTran/P_lossTran [%]</t>
  </si>
  <si>
    <t xml:space="preserve">Conf. ΔP_lossTran/P_lossTran [%]</t>
  </si>
  <si>
    <t xml:space="preserve">Est. ΔP_lossConv [W]</t>
  </si>
  <si>
    <t xml:space="preserve">Conf. ΔP_lossConv [W]</t>
  </si>
  <si>
    <t xml:space="preserve">Est. ΔP_lossConv/P_lossConv [%]</t>
  </si>
  <si>
    <t xml:space="preserve">Conf. ΔP_lossConv/P_lossConv [%]</t>
  </si>
  <si>
    <t xml:space="preserve">Est. ΔP_loss [W]</t>
  </si>
  <si>
    <t xml:space="preserve">Conf. ΔP_loss [W]</t>
  </si>
  <si>
    <t xml:space="preserve">Est. ΔP_loss/P_loss [%]</t>
  </si>
  <si>
    <t xml:space="preserve">Conf. ΔP_loss/P_loss [%]</t>
  </si>
  <si>
    <t xml:space="preserve">This data is from simulations for a simplified transformer model (Ignoring nonlinear terms) Scenario 1 Dataset 1.3</t>
  </si>
  <si>
    <t xml:space="preserve">`</t>
  </si>
  <si>
    <t xml:space="preserve">Unsymmetric transformer model (with nonlinear terms)</t>
  </si>
  <si>
    <t xml:space="preserve">Unsymmetric transformer model (ignoring nonlinear terms)</t>
  </si>
  <si>
    <t xml:space="preserve">Scenarios 3-4: AC Balanced, Unbalanced + Heaters</t>
  </si>
  <si>
    <t xml:space="preserve">Heater 1-A</t>
  </si>
  <si>
    <t xml:space="preserve">Heater 1-B</t>
  </si>
  <si>
    <t xml:space="preserve">Heater 1-C</t>
  </si>
  <si>
    <t xml:space="preserve">Heater 2-A</t>
  </si>
  <si>
    <t xml:space="preserve">Heater 2-B</t>
  </si>
  <si>
    <t xml:space="preserve">Heater 2-C</t>
  </si>
  <si>
    <t xml:space="preserve">g_load [℧]</t>
  </si>
  <si>
    <t xml:space="preserve">σ(g_load) [℧]</t>
  </si>
  <si>
    <t xml:space="preserve">Check</t>
  </si>
  <si>
    <t xml:space="preserve">LED 1</t>
  </si>
  <si>
    <t xml:space="preserve">LED 2</t>
  </si>
  <si>
    <t xml:space="preserve">LED 3</t>
  </si>
  <si>
    <t xml:space="preserve">Output power (Calc)</t>
  </si>
  <si>
    <t xml:space="preserve">Check Output Power</t>
  </si>
  <si>
    <t xml:space="preserve">Scenarios 5-6: DC (120 VAC Input, 208 VAC Input)</t>
  </si>
  <si>
    <t xml:space="preserve">Load: Laptop Charger 6</t>
  </si>
  <si>
    <t xml:space="preserve">Load: Small Resistor 1A</t>
  </si>
  <si>
    <t xml:space="preserve">Load: Small Resistor 1B</t>
  </si>
  <si>
    <t xml:space="preserve">Load: Small Resistor 1C</t>
  </si>
  <si>
    <t xml:space="preserve">Load: Small Resistor 1D</t>
  </si>
  <si>
    <t xml:space="preserve">Load: Small Resistor 1E</t>
  </si>
  <si>
    <t xml:space="preserve">Load: Small Resistor 1F</t>
  </si>
  <si>
    <t xml:space="preserve">Load: Small Resistor 1G</t>
  </si>
  <si>
    <t xml:space="preserve">Transformer Secondary</t>
  </si>
  <si>
    <t xml:space="preserve">Calc: P_lossTran [W]</t>
  </si>
  <si>
    <t xml:space="preserve">Calc: σ(P_lossTran) [W]</t>
  </si>
  <si>
    <t xml:space="preserve">Resistor total power (+ LEDs)</t>
  </si>
  <si>
    <t xml:space="preserve">Scenario</t>
  </si>
  <si>
    <t xml:space="preserve">Run</t>
  </si>
  <si>
    <t xml:space="preserve">Summary</t>
  </si>
  <si>
    <t xml:space="preserve">P_In</t>
  </si>
  <si>
    <t xml:space="preserve">P_Secondary</t>
  </si>
  <si>
    <t xml:space="preserve">P_Out</t>
  </si>
  <si>
    <t xml:space="preserve">P_TransformerLoss</t>
  </si>
  <si>
    <t xml:space="preserve">P_ConverterLoss</t>
  </si>
  <si>
    <t xml:space="preserve">P_SystemLoss</t>
  </si>
  <si>
    <t xml:space="preserve">V_A</t>
  </si>
  <si>
    <t xml:space="preserve">V_A_deg</t>
  </si>
  <si>
    <t xml:space="preserve">V_AB</t>
  </si>
  <si>
    <t xml:space="preserve">V_AB_deg</t>
  </si>
  <si>
    <t xml:space="preserve">V_B</t>
  </si>
  <si>
    <t xml:space="preserve">V_B_deg</t>
  </si>
  <si>
    <t xml:space="preserve">V_BC</t>
  </si>
  <si>
    <t xml:space="preserve">V_BC_deg</t>
  </si>
  <si>
    <t xml:space="preserve">V_C</t>
  </si>
  <si>
    <t xml:space="preserve">V_C_deg</t>
  </si>
  <si>
    <t xml:space="preserve">V_CA</t>
  </si>
  <si>
    <t xml:space="preserve">V_CA_deg</t>
  </si>
  <si>
    <t xml:space="preserve">I_A</t>
  </si>
  <si>
    <t xml:space="preserve">I_A_deg</t>
  </si>
  <si>
    <t xml:space="preserve">I_B</t>
  </si>
  <si>
    <t xml:space="preserve">I_B_deg</t>
  </si>
  <si>
    <t xml:space="preserve">I_C</t>
  </si>
  <si>
    <t xml:space="preserve">I_C_deg</t>
  </si>
  <si>
    <t xml:space="preserve">Delta-&gt;Wye P_A</t>
  </si>
  <si>
    <t xml:space="preserve">Delta-&gt;Wye P_B</t>
  </si>
  <si>
    <t xml:space="preserve">Delta-&gt;Wye P_C</t>
  </si>
  <si>
    <t xml:space="preserve">V_an</t>
  </si>
  <si>
    <t xml:space="preserve">V_an_deg</t>
  </si>
  <si>
    <t xml:space="preserve">V_bn</t>
  </si>
  <si>
    <t xml:space="preserve">V_bn_deg</t>
  </si>
  <si>
    <t xml:space="preserve">V_cn</t>
  </si>
  <si>
    <t xml:space="preserve">V_cn_deg</t>
  </si>
  <si>
    <t xml:space="preserve">I_a</t>
  </si>
  <si>
    <t xml:space="preserve">I_an_deg</t>
  </si>
  <si>
    <t xml:space="preserve">I_b</t>
  </si>
  <si>
    <t xml:space="preserve">I_bn_deg</t>
  </si>
  <si>
    <t xml:space="preserve">I_c</t>
  </si>
  <si>
    <t xml:space="preserve">I_cn_deg</t>
  </si>
  <si>
    <t xml:space="preserve">P_a</t>
  </si>
  <si>
    <t xml:space="preserve">P_b</t>
  </si>
  <si>
    <t xml:space="preserve">P_c</t>
  </si>
  <si>
    <t xml:space="preserve">V_OUT_PS1</t>
  </si>
  <si>
    <t xml:space="preserve">V_OUT_PS2</t>
  </si>
  <si>
    <t xml:space="preserve">V_OUT_PS3</t>
  </si>
  <si>
    <t xml:space="preserve">P_OUT_PS1</t>
  </si>
  <si>
    <t xml:space="preserve">P_OUT_PS2</t>
  </si>
  <si>
    <t xml:space="preserve">P_OUT_PS3</t>
  </si>
  <si>
    <t xml:space="preserve">V_LED_1</t>
  </si>
  <si>
    <t xml:space="preserve">V_LED_2</t>
  </si>
  <si>
    <t xml:space="preserve">V_LED_3</t>
  </si>
  <si>
    <t xml:space="preserve">I_LED_1</t>
  </si>
  <si>
    <t xml:space="preserve">I_LED_2</t>
  </si>
  <si>
    <t xml:space="preserve">I_LED_3</t>
  </si>
  <si>
    <t xml:space="preserve">P_LED_1</t>
  </si>
  <si>
    <t xml:space="preserve">P_LED_2</t>
  </si>
  <si>
    <t xml:space="preserve">P_LED_3</t>
  </si>
  <si>
    <t xml:space="preserve">V_LAPTOP_3_OUTPUT</t>
  </si>
  <si>
    <t xml:space="preserve">V_LAPTOP_4_OUTPUT</t>
  </si>
  <si>
    <t xml:space="preserve">V_LAPTOP_5_OUTPUT</t>
  </si>
  <si>
    <t xml:space="preserve">I_LAPTOP_3_OUTPUT</t>
  </si>
  <si>
    <t xml:space="preserve">I_LAPTOP_4_OUTPUT</t>
  </si>
  <si>
    <t xml:space="preserve">I_LAPTOP_5_OUTPUT</t>
  </si>
  <si>
    <t xml:space="preserve">P_LAPTOP_3_OUTPUT</t>
  </si>
  <si>
    <t xml:space="preserve">P_LAPTOP_4_OUTPUT</t>
  </si>
  <si>
    <t xml:space="preserve">P_LAPTOP_5_OUTPUT</t>
  </si>
  <si>
    <t xml:space="preserve">V_LED_1 * I_LED_1</t>
  </si>
  <si>
    <t xml:space="preserve">V_LED_2 * I_LED_2</t>
  </si>
  <si>
    <t xml:space="preserve">V_LED_3 * I_LED_3</t>
  </si>
  <si>
    <t xml:space="preserve">V_LAPTOP_3_OUTPUT * I_LAPTOP_3_OUTPUT</t>
  </si>
  <si>
    <t xml:space="preserve">V_LAPTOP_4_OUTPUT * I_LAPTOP_4_OUTPUT</t>
  </si>
  <si>
    <t xml:space="preserve">V_LAPTOP_5_OUTPUT * I_LAPTOP_5_OUTPUT</t>
  </si>
  <si>
    <t xml:space="preserve">1.1.1</t>
  </si>
  <si>
    <t xml:space="preserve">Variance</t>
  </si>
  <si>
    <t xml:space="preserve">1.1.2</t>
  </si>
  <si>
    <t xml:space="preserve">1.1.3</t>
  </si>
  <si>
    <t xml:space="preserve">1.2.1</t>
  </si>
  <si>
    <t xml:space="preserve">1.2.2</t>
  </si>
  <si>
    <t xml:space="preserve">1.2.3</t>
  </si>
  <si>
    <t xml:space="preserve">1.3.1</t>
  </si>
  <si>
    <t xml:space="preserve">1.3.2</t>
  </si>
  <si>
    <t xml:space="preserve">1.3.3</t>
  </si>
  <si>
    <t xml:space="preserve">1.4.1</t>
  </si>
  <si>
    <t xml:space="preserve">1.4.2</t>
  </si>
  <si>
    <t xml:space="preserve">1.4.3</t>
  </si>
  <si>
    <t xml:space="preserve">2.1.1</t>
  </si>
  <si>
    <t xml:space="preserve">2.1.2</t>
  </si>
  <si>
    <t xml:space="preserve">2.1.3</t>
  </si>
  <si>
    <t xml:space="preserve">2.2.1</t>
  </si>
  <si>
    <t xml:space="preserve">2.2.2</t>
  </si>
  <si>
    <t xml:space="preserve">2.2.3</t>
  </si>
  <si>
    <t xml:space="preserve">2.3.1</t>
  </si>
  <si>
    <t xml:space="preserve">2.3.2</t>
  </si>
  <si>
    <t xml:space="preserve">2.3.3</t>
  </si>
  <si>
    <t xml:space="preserve">2.4.1</t>
  </si>
  <si>
    <t xml:space="preserve">2.4.2</t>
  </si>
  <si>
    <t xml:space="preserve">2.4.3</t>
  </si>
  <si>
    <t xml:space="preserve">All</t>
  </si>
  <si>
    <t xml:space="preserve">Standard Deviation</t>
  </si>
  <si>
    <t xml:space="preserve">Mean</t>
  </si>
  <si>
    <t xml:space="preserve">Covariance</t>
  </si>
  <si>
    <t xml:space="preserve">P_HEATER_1_A</t>
  </si>
  <si>
    <t xml:space="preserve">P_HEATER_1_B</t>
  </si>
  <si>
    <t xml:space="preserve">P_HEATER_1_C</t>
  </si>
  <si>
    <t xml:space="preserve">P_HEATER_2_A</t>
  </si>
  <si>
    <t xml:space="preserve">P_HEATER_2_B</t>
  </si>
  <si>
    <t xml:space="preserve">P_HEATER_2_C</t>
  </si>
  <si>
    <t xml:space="preserve">3.1.1</t>
  </si>
  <si>
    <t xml:space="preserve">3.1.2</t>
  </si>
  <si>
    <t xml:space="preserve">3.1.3</t>
  </si>
  <si>
    <t xml:space="preserve">3.2.1</t>
  </si>
  <si>
    <t xml:space="preserve">3.2.2</t>
  </si>
  <si>
    <t xml:space="preserve">3.2.3</t>
  </si>
  <si>
    <t xml:space="preserve">3.3.1</t>
  </si>
  <si>
    <t xml:space="preserve">3.3.2</t>
  </si>
  <si>
    <t xml:space="preserve">3.3.3</t>
  </si>
  <si>
    <t xml:space="preserve">3.4.1</t>
  </si>
  <si>
    <t xml:space="preserve">3.4.2</t>
  </si>
  <si>
    <t xml:space="preserve">3.4.3</t>
  </si>
  <si>
    <t xml:space="preserve">4.1.1</t>
  </si>
  <si>
    <t xml:space="preserve">4.1.2</t>
  </si>
  <si>
    <t xml:space="preserve">4.1.3</t>
  </si>
  <si>
    <t xml:space="preserve">4.2.1</t>
  </si>
  <si>
    <t xml:space="preserve">4.2.2</t>
  </si>
  <si>
    <t xml:space="preserve">4.2.3</t>
  </si>
  <si>
    <t xml:space="preserve">4.3.1</t>
  </si>
  <si>
    <t xml:space="preserve">4.3.2</t>
  </si>
  <si>
    <t xml:space="preserve">4.3.3</t>
  </si>
  <si>
    <t xml:space="preserve">4.4.1</t>
  </si>
  <si>
    <t xml:space="preserve">4.4.2</t>
  </si>
  <si>
    <t xml:space="preserve">4.4.3</t>
  </si>
  <si>
    <t xml:space="preserve">V_Nextek_Input</t>
  </si>
  <si>
    <t xml:space="preserve">V_Nextek_Input_deg</t>
  </si>
  <si>
    <t xml:space="preserve">I_Nextek_Input</t>
  </si>
  <si>
    <t xml:space="preserve">I_Nextek_Input_deg</t>
  </si>
  <si>
    <t xml:space="preserve">P_Nextek_Input</t>
  </si>
  <si>
    <t xml:space="preserve">V_LAPTOP_4_INPUT</t>
  </si>
  <si>
    <t xml:space="preserve">V_LAPTOP_5_INPUT</t>
  </si>
  <si>
    <t xml:space="preserve">V_LAPTOP_6_INPUT</t>
  </si>
  <si>
    <t xml:space="preserve">V_LAPTOP_6_OUTPUT</t>
  </si>
  <si>
    <t xml:space="preserve">I_LAPTOP_4_INPUT</t>
  </si>
  <si>
    <t xml:space="preserve">I_LAPTOP_5_INPUT</t>
  </si>
  <si>
    <t xml:space="preserve">I_LAPTOP_6_INPUT</t>
  </si>
  <si>
    <t xml:space="preserve">I_LAPTOP_6_OUTPUT</t>
  </si>
  <si>
    <t xml:space="preserve">P_LAPTOP_4_INPUT</t>
  </si>
  <si>
    <t xml:space="preserve">P_LAPTOP_5_INPUT</t>
  </si>
  <si>
    <t xml:space="preserve">P_LAPTOP_6_INPUT</t>
  </si>
  <si>
    <t xml:space="preserve">P_LAPTOP_6_OUTPUT</t>
  </si>
  <si>
    <t xml:space="preserve">V_RESISTOR_1A</t>
  </si>
  <si>
    <t xml:space="preserve">V_RESISTOR_1B</t>
  </si>
  <si>
    <t xml:space="preserve">V_RESISTOR_1C</t>
  </si>
  <si>
    <t xml:space="preserve">V_RESISTOR_1D</t>
  </si>
  <si>
    <t xml:space="preserve">V_RESISTOR_1E</t>
  </si>
  <si>
    <t xml:space="preserve">V_RESISTOR_1F</t>
  </si>
  <si>
    <t xml:space="preserve">V_RESISTOR_1G</t>
  </si>
  <si>
    <t xml:space="preserve">P_RESISTOR_1A</t>
  </si>
  <si>
    <t xml:space="preserve">P_RESISTOR_1B</t>
  </si>
  <si>
    <t xml:space="preserve">P_RESISTOR_1C</t>
  </si>
  <si>
    <t xml:space="preserve">P_RESISTOR_1D</t>
  </si>
  <si>
    <t xml:space="preserve">P_RESISTOR_1E</t>
  </si>
  <si>
    <t xml:space="preserve">P_RESISTOR_1F</t>
  </si>
  <si>
    <t xml:space="preserve">P_RESISTOR_1G</t>
  </si>
  <si>
    <t xml:space="preserve">V_LAPTOP_6_OUTPUT * I_LAPTOP_6_OUTPUT</t>
  </si>
  <si>
    <t xml:space="preserve">5.1.1</t>
  </si>
  <si>
    <t xml:space="preserve">5.1.2</t>
  </si>
  <si>
    <t xml:space="preserve">5.1.3</t>
  </si>
  <si>
    <t xml:space="preserve">5.2.1</t>
  </si>
  <si>
    <t xml:space="preserve">5.2.2</t>
  </si>
  <si>
    <t xml:space="preserve">5.2.3</t>
  </si>
  <si>
    <t xml:space="preserve">5.3.1</t>
  </si>
  <si>
    <t xml:space="preserve">5.3.2</t>
  </si>
  <si>
    <t xml:space="preserve">5.3.3</t>
  </si>
  <si>
    <t xml:space="preserve">5.4.1</t>
  </si>
  <si>
    <t xml:space="preserve">5.4.2</t>
  </si>
  <si>
    <t xml:space="preserve">5.4.3</t>
  </si>
  <si>
    <t xml:space="preserve">6.1.1</t>
  </si>
  <si>
    <t xml:space="preserve">6.1.2</t>
  </si>
  <si>
    <t xml:space="preserve">6.1.3</t>
  </si>
  <si>
    <t xml:space="preserve">6.2.1</t>
  </si>
  <si>
    <t xml:space="preserve">6.2.2</t>
  </si>
  <si>
    <t xml:space="preserve">6.2.3</t>
  </si>
  <si>
    <t xml:space="preserve">6.3.1</t>
  </si>
  <si>
    <t xml:space="preserve">6.3.2</t>
  </si>
  <si>
    <t xml:space="preserve">6.3.3</t>
  </si>
  <si>
    <t xml:space="preserve">6.4.1</t>
  </si>
  <si>
    <t xml:space="preserve">6.4.2</t>
  </si>
  <si>
    <t xml:space="preserve">6.4.3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</si>
</sst>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0.000"/>
    <numFmt numFmtId="166" formatCode="0.0"/>
    <numFmt numFmtId="167" formatCode="0.0000"/>
    <numFmt numFmtId="168" formatCode="0.00000"/>
    <numFmt numFmtId="169" formatCode="0.00000000"/>
    <numFmt numFmtId="170" formatCode="0.000000000"/>
    <numFmt numFmtId="171" formatCode="0.00"/>
    <numFmt numFmtId="172" formatCode="0.0%"/>
    <numFmt numFmtId="173" formatCode="0.00%"/>
    <numFmt numFmtId="174" formatCode="0.000000"/>
    <numFmt numFmtId="175" formatCode="0.0000000"/>
    <numFmt numFmtId="176" formatCode="0.0000000000"/>
    <numFmt numFmtId="177" formatCode="0"/>
    <numFmt numFmtId="178" formatCode="General"/>
    <numFmt numFmtId="179" formatCode="#,##0.000"/>
    <numFmt numFmtId="180" formatCode="#,##0.00"/>
    <numFmt numFmtId="181" formatCode="#,##0.0000"/>
    <numFmt numFmtId="182" formatCode="@"/>
    <numFmt numFmtId="183" formatCode="0.000000000000"/>
    <numFmt numFmtId="184" formatCode="0.00000000000"/>
    <numFmt numFmtId="185" formatCode="0.00E+00"/>
  </numFmts>
  <fonts count="2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4"/>
      <color rgb="FF0000FF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color rgb="FFFF9900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FF9900"/>
      <name val="Arial"/>
      <family val="2"/>
      <charset val="1"/>
    </font>
    <font>
      <b val="true"/>
      <sz val="14"/>
      <color rgb="FF999999"/>
      <name val="Arial"/>
      <family val="2"/>
      <charset val="1"/>
    </font>
    <font>
      <b val="true"/>
      <sz val="14"/>
      <color rgb="FF6FA8DC"/>
      <name val="Arial"/>
      <family val="2"/>
      <charset val="1"/>
    </font>
    <font>
      <b val="true"/>
      <sz val="14"/>
      <color rgb="FFF6B26B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FA8DC"/>
      <name val="Arial"/>
      <family val="2"/>
      <charset val="1"/>
    </font>
    <font>
      <b val="true"/>
      <sz val="10"/>
      <color rgb="FFF6B26B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color rgb="FF999999"/>
      <name val="Arial"/>
      <family val="2"/>
      <charset val="1"/>
    </font>
    <font>
      <sz val="10"/>
      <color rgb="FF6FA8DC"/>
      <name val="Arial"/>
      <family val="2"/>
      <charset val="1"/>
    </font>
    <font>
      <sz val="10"/>
      <color rgb="FFF6B26B"/>
      <name val="Arial"/>
      <family val="2"/>
      <charset val="1"/>
    </font>
    <font>
      <sz val="10"/>
      <color rgb="FF000000"/>
      <name val="Arial"/>
      <family val="0"/>
    </font>
    <font>
      <sz val="9"/>
      <color rgb="FF000000"/>
      <name val="Tahoma"/>
      <family val="2"/>
      <charset val="1"/>
    </font>
    <font>
      <b val="true"/>
      <sz val="14"/>
      <color rgb="FFFF990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E69138"/>
      </patternFill>
    </fill>
    <fill>
      <patternFill patternType="solid">
        <fgColor rgb="FFD9D9D9"/>
        <bgColor rgb="FFCFE2F3"/>
      </patternFill>
    </fill>
    <fill>
      <patternFill patternType="solid">
        <fgColor rgb="FF9FC5E8"/>
        <bgColor rgb="FFB6D7A8"/>
      </patternFill>
    </fill>
    <fill>
      <patternFill patternType="solid">
        <fgColor rgb="FFF9CB9C"/>
        <bgColor rgb="FFF4CCCC"/>
      </patternFill>
    </fill>
    <fill>
      <patternFill patternType="solid">
        <fgColor rgb="FFB6D7A8"/>
        <bgColor rgb="FFD9D9D9"/>
      </patternFill>
    </fill>
    <fill>
      <patternFill patternType="solid">
        <fgColor rgb="FFEA9999"/>
        <bgColor rgb="FFE6B8AF"/>
      </patternFill>
    </fill>
    <fill>
      <patternFill patternType="solid">
        <fgColor rgb="FFEFEFEF"/>
        <bgColor rgb="FFFFF2CC"/>
      </patternFill>
    </fill>
    <fill>
      <patternFill patternType="solid">
        <fgColor rgb="FFCFE2F3"/>
        <bgColor rgb="FFD9D9D9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D9D9D9"/>
      </patternFill>
    </fill>
    <fill>
      <patternFill patternType="solid">
        <fgColor rgb="FFF4CCCC"/>
        <bgColor rgb="FFF9CB9C"/>
      </patternFill>
    </fill>
    <fill>
      <patternFill patternType="solid">
        <fgColor rgb="FFE6B8AF"/>
        <bgColor rgb="FFF9CB9C"/>
      </patternFill>
    </fill>
    <fill>
      <patternFill patternType="solid">
        <fgColor rgb="FFF6B26B"/>
        <bgColor rgb="FFE6B8AF"/>
      </patternFill>
    </fill>
    <fill>
      <patternFill patternType="solid">
        <fgColor rgb="FFE69138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1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1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1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8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2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7" fontId="2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1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4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3" fillId="18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1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D9EAD3"/>
        </patternFill>
      </fill>
    </dxf>
    <dxf>
      <fill>
        <patternFill>
          <bgColor rgb="FFFCE5CD"/>
        </patternFill>
      </fill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FA8DC"/>
      <rgbColor rgb="FF993366"/>
      <rgbColor rgb="FFFFF2CC"/>
      <rgbColor rgb="FFD9D9D9"/>
      <rgbColor rgb="FF660066"/>
      <rgbColor rgb="FFE06666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4CCCC"/>
      <rgbColor rgb="FFD9EAD3"/>
      <rgbColor rgb="FFFCE5CD"/>
      <rgbColor rgb="FF9FC5E8"/>
      <rgbColor rgb="FFEA9999"/>
      <rgbColor rgb="FFE6B8AF"/>
      <rgbColor rgb="FFF9CB9C"/>
      <rgbColor rgb="FF3366FF"/>
      <rgbColor rgb="FF33CCCC"/>
      <rgbColor rgb="FF93C47D"/>
      <rgbColor rgb="FFF6B26B"/>
      <rgbColor rgb="FFFF9900"/>
      <rgbColor rgb="FFE69138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3" activeCellId="0" sqref="B33"/>
    </sheetView>
  </sheetViews>
  <sheetFormatPr defaultColWidth="14.5" defaultRowHeight="15.75" zeroHeight="false" outlineLevelRow="0" outlineLevelCol="0"/>
  <cols>
    <col collapsed="false" customWidth="true" hidden="false" outlineLevel="0" max="2" min="2" style="0" width="25.4"/>
    <col collapsed="false" customWidth="true" hidden="false" outlineLevel="0" max="3" min="3" style="0" width="84.7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false" outlineLevel="0" collapsed="false">
      <c r="A2" s="3" t="s">
        <v>3</v>
      </c>
      <c r="B2" s="3" t="s">
        <v>4</v>
      </c>
      <c r="C2" s="3" t="s">
        <v>5</v>
      </c>
    </row>
    <row r="3" customFormat="false" ht="15.75" hidden="false" customHeight="false" outlineLevel="0" collapsed="false">
      <c r="A3" s="3" t="s">
        <v>6</v>
      </c>
      <c r="B3" s="3" t="s">
        <v>7</v>
      </c>
      <c r="C3" s="3" t="s">
        <v>8</v>
      </c>
    </row>
    <row r="4" customFormat="false" ht="15.75" hidden="false" customHeight="false" outlineLevel="0" collapsed="false">
      <c r="A4" s="3" t="s">
        <v>9</v>
      </c>
      <c r="B4" s="3" t="s">
        <v>10</v>
      </c>
      <c r="C4" s="3" t="s">
        <v>11</v>
      </c>
    </row>
    <row r="5" customFormat="false" ht="15.75" hidden="false" customHeight="false" outlineLevel="0" collapsed="false">
      <c r="A5" s="3" t="s">
        <v>12</v>
      </c>
      <c r="B5" s="3" t="s">
        <v>13</v>
      </c>
      <c r="C5" s="3" t="s">
        <v>14</v>
      </c>
    </row>
    <row r="6" customFormat="false" ht="15.75" hidden="false" customHeight="false" outlineLevel="0" collapsed="false">
      <c r="A6" s="3" t="s">
        <v>15</v>
      </c>
      <c r="B6" s="3" t="s">
        <v>16</v>
      </c>
      <c r="C6" s="3" t="s">
        <v>17</v>
      </c>
    </row>
    <row r="7" customFormat="false" ht="15.75" hidden="false" customHeight="false" outlineLevel="0" collapsed="false">
      <c r="A7" s="3" t="s">
        <v>18</v>
      </c>
      <c r="B7" s="3" t="s">
        <v>19</v>
      </c>
      <c r="C7" s="3" t="s">
        <v>20</v>
      </c>
    </row>
    <row r="8" customFormat="false" ht="15.75" hidden="false" customHeight="false" outlineLevel="0" collapsed="false">
      <c r="A8" s="3" t="s">
        <v>21</v>
      </c>
      <c r="B8" s="3" t="s">
        <v>22</v>
      </c>
      <c r="C8" s="3" t="s">
        <v>23</v>
      </c>
    </row>
    <row r="9" customFormat="false" ht="15.75" hidden="false" customHeight="false" outlineLevel="0" collapsed="false">
      <c r="A9" s="3" t="s">
        <v>24</v>
      </c>
      <c r="B9" s="3" t="s">
        <v>25</v>
      </c>
      <c r="C9" s="3" t="s">
        <v>26</v>
      </c>
    </row>
    <row r="10" customFormat="false" ht="15.75" hidden="false" customHeight="false" outlineLevel="0" collapsed="false">
      <c r="A10" s="3" t="s">
        <v>27</v>
      </c>
      <c r="B10" s="3" t="s">
        <v>28</v>
      </c>
      <c r="C10" s="3" t="s">
        <v>29</v>
      </c>
    </row>
    <row r="11" customFormat="false" ht="15.75" hidden="false" customHeight="false" outlineLevel="0" collapsed="false">
      <c r="A11" s="3" t="s">
        <v>30</v>
      </c>
      <c r="B11" s="3" t="s">
        <v>31</v>
      </c>
      <c r="C11" s="3" t="s">
        <v>32</v>
      </c>
    </row>
    <row r="12" customFormat="false" ht="15.75" hidden="false" customHeight="false" outlineLevel="0" collapsed="false">
      <c r="A12" s="3" t="s">
        <v>33</v>
      </c>
      <c r="B12" s="3" t="s">
        <v>34</v>
      </c>
      <c r="C12" s="3" t="s">
        <v>35</v>
      </c>
    </row>
    <row r="13" customFormat="false" ht="15.75" hidden="false" customHeight="false" outlineLevel="0" collapsed="false">
      <c r="A13" s="3" t="s">
        <v>36</v>
      </c>
      <c r="B13" s="3" t="s">
        <v>37</v>
      </c>
      <c r="C13" s="3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R1000"/>
  <sheetViews>
    <sheetView showFormulas="false" showGridLines="true" showRowColHeaders="true" showZeros="true" rightToLeft="false" tabSelected="false" showOutlineSymbols="true" defaultGridColor="true" view="normal" topLeftCell="AI1" colorId="64" zoomScale="120" zoomScaleNormal="120" zoomScalePageLayoutView="100" workbookViewId="0">
      <selection pane="topLeft" activeCell="G39" activeCellId="0" sqref="G39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8.71"/>
    <col collapsed="false" customWidth="true" hidden="false" outlineLevel="0" max="39" min="39" style="0" width="16.57"/>
    <col collapsed="false" customWidth="true" hidden="false" outlineLevel="0" max="40" min="40" style="0" width="9.85"/>
    <col collapsed="false" customWidth="true" hidden="false" outlineLevel="0" max="41" min="41" style="0" width="15"/>
    <col collapsed="false" customWidth="true" hidden="false" outlineLevel="0" max="43" min="43" style="0" width="15"/>
    <col collapsed="false" customWidth="true" hidden="false" outlineLevel="0" max="44" min="44" style="0" width="20.14"/>
    <col collapsed="false" customWidth="true" hidden="false" outlineLevel="0" max="45" min="45" style="0" width="10.42"/>
    <col collapsed="false" customWidth="true" hidden="false" outlineLevel="0" max="46" min="46" style="0" width="15.57"/>
    <col collapsed="false" customWidth="true" hidden="false" outlineLevel="0" max="47" min="47" style="0" width="13.02"/>
    <col collapsed="false" customWidth="true" hidden="false" outlineLevel="0" max="48" min="48" style="0" width="12.14"/>
    <col collapsed="false" customWidth="true" hidden="false" outlineLevel="0" max="49" min="49" style="0" width="24.57"/>
    <col collapsed="false" customWidth="true" hidden="false" outlineLevel="0" max="50" min="50" style="0" width="13.43"/>
    <col collapsed="false" customWidth="true" hidden="false" outlineLevel="0" max="51" min="51" style="0" width="18.58"/>
    <col collapsed="false" customWidth="true" hidden="false" outlineLevel="0" max="52" min="52" style="0" width="13.57"/>
    <col collapsed="false" customWidth="true" hidden="false" outlineLevel="0" max="53" min="53" style="0" width="12.14"/>
    <col collapsed="false" customWidth="true" hidden="false" outlineLevel="0" max="54" min="54" style="0" width="24.57"/>
    <col collapsed="false" customWidth="true" hidden="false" outlineLevel="0" max="55" min="55" style="0" width="13.43"/>
    <col collapsed="false" customWidth="true" hidden="false" outlineLevel="0" max="56" min="56" style="0" width="18.58"/>
    <col collapsed="false" customWidth="true" hidden="false" outlineLevel="0" max="57" min="57" style="0" width="13.86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2.86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2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3.02"/>
    <col collapsed="false" customWidth="true" hidden="false" outlineLevel="0" max="79" min="79" style="0" width="13.43"/>
    <col collapsed="false" customWidth="true" hidden="false" outlineLevel="0" max="80" min="80" style="0" width="18.58"/>
    <col collapsed="false" customWidth="true" hidden="false" outlineLevel="0" max="81" min="81" style="0" width="12.86"/>
    <col collapsed="false" customWidth="true" hidden="false" outlineLevel="0" max="82" min="82" style="0" width="13.02"/>
    <col collapsed="false" customWidth="true" hidden="false" outlineLevel="0" max="83" min="83" style="0" width="13.43"/>
    <col collapsed="false" customWidth="true" hidden="false" outlineLevel="0" max="84" min="84" style="0" width="18.58"/>
    <col collapsed="false" customWidth="true" hidden="false" outlineLevel="0" max="85" min="85" style="0" width="12.86"/>
    <col collapsed="false" customWidth="true" hidden="false" outlineLevel="0" max="86" min="86" style="0" width="13.02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1.14"/>
    <col collapsed="false" customWidth="true" hidden="false" outlineLevel="0" max="90" min="90" style="0" width="16.57"/>
    <col collapsed="false" customWidth="true" hidden="false" outlineLevel="0" max="91" min="91" style="0" width="12.29"/>
    <col collapsed="false" customWidth="true" hidden="false" outlineLevel="0" max="92" min="92" style="0" width="17.4"/>
    <col collapsed="false" customWidth="true" hidden="false" outlineLevel="0" max="93" min="93" style="0" width="16.87"/>
    <col collapsed="false" customWidth="true" hidden="false" outlineLevel="0" max="94" min="94" style="0" width="17.4"/>
    <col collapsed="false" customWidth="true" hidden="false" outlineLevel="0" max="95" min="95" style="0" width="22.57"/>
    <col collapsed="false" customWidth="true" hidden="false" outlineLevel="0" max="96" min="96" style="0" width="12.86"/>
    <col collapsed="false" customWidth="true" hidden="false" outlineLevel="0" max="97" min="97" style="0" width="18"/>
    <col collapsed="false" customWidth="true" hidden="false" outlineLevel="0" max="98" min="98" style="0" width="10.12"/>
    <col collapsed="false" customWidth="true" hidden="false" outlineLevel="0" max="99" min="99" style="0" width="10"/>
    <col collapsed="false" customWidth="true" hidden="false" outlineLevel="0" max="101" min="101" style="0" width="15"/>
    <col collapsed="false" customWidth="true" hidden="false" outlineLevel="0" max="102" min="102" style="0" width="10.99"/>
    <col collapsed="false" customWidth="true" hidden="false" outlineLevel="0" max="103" min="103" style="0" width="15.71"/>
    <col collapsed="false" customWidth="true" hidden="false" outlineLevel="0" max="104" min="104" style="0" width="15.29"/>
    <col collapsed="false" customWidth="true" hidden="false" outlineLevel="0" max="105" min="105" style="0" width="17.86"/>
    <col collapsed="false" customWidth="true" hidden="false" outlineLevel="0" max="106" min="106" style="0" width="19.42"/>
    <col collapsed="false" customWidth="true" hidden="false" outlineLevel="0" max="107" min="107" style="0" width="17.13"/>
    <col collapsed="false" customWidth="true" hidden="false" outlineLevel="0" max="108" min="108" style="0" width="16.57"/>
    <col collapsed="false" customWidth="true" hidden="false" outlineLevel="0" max="109" min="109" style="0" width="20.42"/>
    <col collapsed="false" customWidth="true" hidden="false" outlineLevel="0" max="110" min="110" style="0" width="22.01"/>
    <col collapsed="false" customWidth="true" hidden="false" outlineLevel="0" max="111" min="111" style="0" width="19.71"/>
    <col collapsed="false" customWidth="true" hidden="false" outlineLevel="0" max="112" min="112" style="0" width="20.98"/>
    <col collapsed="false" customWidth="true" hidden="false" outlineLevel="0" max="113" min="113" style="0" width="29.29"/>
    <col collapsed="false" customWidth="true" hidden="false" outlineLevel="0" max="114" min="114" style="0" width="30.86"/>
    <col collapsed="false" customWidth="true" hidden="false" outlineLevel="0" max="115" min="115" style="0" width="21.14"/>
    <col collapsed="false" customWidth="true" hidden="false" outlineLevel="0" max="116" min="116" style="0" width="21.57"/>
    <col collapsed="false" customWidth="true" hidden="false" outlineLevel="0" max="117" min="117" style="0" width="30.43"/>
    <col collapsed="false" customWidth="true" hidden="false" outlineLevel="0" max="118" min="118" style="0" width="32"/>
    <col collapsed="false" customWidth="true" hidden="false" outlineLevel="0" max="119" min="119" style="0" width="17.13"/>
    <col collapsed="false" customWidth="true" hidden="false" outlineLevel="0" max="120" min="120" style="0" width="17"/>
    <col collapsed="false" customWidth="true" hidden="false" outlineLevel="0" max="121" min="121" style="0" width="21.29"/>
    <col collapsed="false" customWidth="true" hidden="false" outlineLevel="0" max="122" min="122" style="0" width="22.86"/>
  </cols>
  <sheetData>
    <row r="1" customFormat="false" ht="15.75" hidden="false" customHeight="true" outlineLevel="0" collapsed="false">
      <c r="A1" s="4" t="s">
        <v>39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7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7"/>
      <c r="CL1" s="7"/>
      <c r="CM1" s="5"/>
      <c r="CN1" s="5"/>
      <c r="CO1" s="5"/>
      <c r="CP1" s="8"/>
      <c r="CQ1" s="8"/>
      <c r="CR1" s="8"/>
      <c r="CS1" s="8"/>
      <c r="CT1" s="9" t="s">
        <v>40</v>
      </c>
      <c r="CU1" s="9"/>
      <c r="CV1" s="9"/>
      <c r="CW1" s="9"/>
      <c r="CX1" s="9"/>
      <c r="CY1" s="10" t="s">
        <v>41</v>
      </c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49</v>
      </c>
      <c r="AA2" s="14"/>
      <c r="AB2" s="14"/>
      <c r="AC2" s="14"/>
      <c r="AD2" s="14" t="s">
        <v>50</v>
      </c>
      <c r="AE2" s="14"/>
      <c r="AF2" s="14"/>
      <c r="AG2" s="14"/>
      <c r="AH2" s="14" t="s">
        <v>51</v>
      </c>
      <c r="AI2" s="14"/>
      <c r="AJ2" s="14"/>
      <c r="AK2" s="14"/>
      <c r="AL2" s="15" t="s">
        <v>52</v>
      </c>
      <c r="AM2" s="14" t="s">
        <v>53</v>
      </c>
      <c r="AN2" s="14" t="s">
        <v>54</v>
      </c>
      <c r="AO2" s="14"/>
      <c r="AP2" s="14" t="s">
        <v>55</v>
      </c>
      <c r="AQ2" s="14"/>
      <c r="AR2" s="14"/>
      <c r="AS2" s="14"/>
      <c r="AT2" s="14"/>
      <c r="AU2" s="16" t="s">
        <v>43</v>
      </c>
      <c r="AV2" s="16"/>
      <c r="AW2" s="16"/>
      <c r="AX2" s="16"/>
      <c r="AY2" s="16"/>
      <c r="AZ2" s="17" t="s">
        <v>44</v>
      </c>
      <c r="BA2" s="17"/>
      <c r="BB2" s="17"/>
      <c r="BC2" s="17"/>
      <c r="BD2" s="17"/>
      <c r="BE2" s="18" t="s">
        <v>45</v>
      </c>
      <c r="BF2" s="18"/>
      <c r="BG2" s="18"/>
      <c r="BH2" s="18"/>
      <c r="BI2" s="18"/>
      <c r="BJ2" s="18" t="s">
        <v>46</v>
      </c>
      <c r="BK2" s="18"/>
      <c r="BL2" s="18"/>
      <c r="BM2" s="18"/>
      <c r="BN2" s="18"/>
      <c r="BO2" s="18" t="s">
        <v>47</v>
      </c>
      <c r="BP2" s="18"/>
      <c r="BQ2" s="18"/>
      <c r="BR2" s="18"/>
      <c r="BS2" s="18"/>
      <c r="BT2" s="18" t="s">
        <v>48</v>
      </c>
      <c r="BU2" s="18"/>
      <c r="BV2" s="18"/>
      <c r="BW2" s="18"/>
      <c r="BX2" s="18"/>
      <c r="BY2" s="18" t="s">
        <v>49</v>
      </c>
      <c r="BZ2" s="18"/>
      <c r="CA2" s="18"/>
      <c r="CB2" s="18"/>
      <c r="CC2" s="18" t="s">
        <v>50</v>
      </c>
      <c r="CD2" s="18"/>
      <c r="CE2" s="18"/>
      <c r="CF2" s="18"/>
      <c r="CG2" s="18" t="s">
        <v>51</v>
      </c>
      <c r="CH2" s="18"/>
      <c r="CI2" s="18"/>
      <c r="CJ2" s="18"/>
      <c r="CK2" s="16" t="s">
        <v>52</v>
      </c>
      <c r="CL2" s="16" t="s">
        <v>53</v>
      </c>
      <c r="CM2" s="18" t="s">
        <v>54</v>
      </c>
      <c r="CN2" s="18"/>
      <c r="CO2" s="19" t="s">
        <v>55</v>
      </c>
      <c r="CP2" s="19"/>
      <c r="CQ2" s="19"/>
      <c r="CR2" s="19"/>
      <c r="CS2" s="19"/>
      <c r="CT2" s="20" t="s">
        <v>56</v>
      </c>
      <c r="CU2" s="20"/>
      <c r="CV2" s="20"/>
      <c r="CW2" s="20"/>
      <c r="CX2" s="20"/>
      <c r="CY2" s="21" t="s">
        <v>57</v>
      </c>
      <c r="CZ2" s="21"/>
      <c r="DA2" s="21"/>
      <c r="DB2" s="21"/>
      <c r="DC2" s="21" t="s">
        <v>58</v>
      </c>
      <c r="DD2" s="21"/>
      <c r="DE2" s="21"/>
      <c r="DF2" s="21"/>
      <c r="DG2" s="21" t="s">
        <v>59</v>
      </c>
      <c r="DH2" s="21"/>
      <c r="DI2" s="21"/>
      <c r="DJ2" s="21"/>
      <c r="DK2" s="21" t="s">
        <v>60</v>
      </c>
      <c r="DL2" s="21"/>
      <c r="DM2" s="21"/>
      <c r="DN2" s="21"/>
      <c r="DO2" s="21" t="s">
        <v>61</v>
      </c>
      <c r="DP2" s="21"/>
      <c r="DQ2" s="21"/>
      <c r="DR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5" t="s">
        <v>68</v>
      </c>
      <c r="AM3" s="26" t="s">
        <v>69</v>
      </c>
      <c r="AN3" s="26" t="s">
        <v>70</v>
      </c>
      <c r="AO3" s="27" t="s">
        <v>71</v>
      </c>
      <c r="AP3" s="26" t="s">
        <v>72</v>
      </c>
      <c r="AQ3" s="23" t="s">
        <v>73</v>
      </c>
      <c r="AR3" s="27" t="s">
        <v>74</v>
      </c>
      <c r="AS3" s="23" t="s">
        <v>75</v>
      </c>
      <c r="AT3" s="24" t="s">
        <v>76</v>
      </c>
      <c r="AU3" s="28" t="s">
        <v>77</v>
      </c>
      <c r="AV3" s="28" t="s">
        <v>78</v>
      </c>
      <c r="AW3" s="28" t="s">
        <v>79</v>
      </c>
      <c r="AX3" s="28" t="s">
        <v>80</v>
      </c>
      <c r="AY3" s="29" t="s">
        <v>81</v>
      </c>
      <c r="AZ3" s="28" t="s">
        <v>77</v>
      </c>
      <c r="BA3" s="28" t="s">
        <v>78</v>
      </c>
      <c r="BB3" s="28" t="s">
        <v>79</v>
      </c>
      <c r="BC3" s="28" t="s">
        <v>80</v>
      </c>
      <c r="BD3" s="29" t="s">
        <v>81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82</v>
      </c>
      <c r="CA3" s="28" t="s">
        <v>80</v>
      </c>
      <c r="CB3" s="29" t="s">
        <v>81</v>
      </c>
      <c r="CC3" s="28" t="s">
        <v>77</v>
      </c>
      <c r="CD3" s="28" t="s">
        <v>82</v>
      </c>
      <c r="CE3" s="28" t="s">
        <v>80</v>
      </c>
      <c r="CF3" s="29" t="s">
        <v>81</v>
      </c>
      <c r="CG3" s="28" t="s">
        <v>77</v>
      </c>
      <c r="CH3" s="28" t="s">
        <v>82</v>
      </c>
      <c r="CI3" s="28" t="s">
        <v>80</v>
      </c>
      <c r="CJ3" s="29" t="s">
        <v>81</v>
      </c>
      <c r="CK3" s="30" t="s">
        <v>83</v>
      </c>
      <c r="CL3" s="30" t="s">
        <v>84</v>
      </c>
      <c r="CM3" s="31" t="s">
        <v>85</v>
      </c>
      <c r="CN3" s="29" t="s">
        <v>86</v>
      </c>
      <c r="CO3" s="28" t="s">
        <v>87</v>
      </c>
      <c r="CP3" s="28" t="s">
        <v>88</v>
      </c>
      <c r="CQ3" s="32" t="s">
        <v>89</v>
      </c>
      <c r="CR3" s="28" t="s">
        <v>90</v>
      </c>
      <c r="CS3" s="32" t="s">
        <v>91</v>
      </c>
      <c r="CT3" s="33" t="s">
        <v>68</v>
      </c>
      <c r="CU3" s="34" t="s">
        <v>69</v>
      </c>
      <c r="CV3" s="34" t="s">
        <v>72</v>
      </c>
      <c r="CW3" s="34" t="s">
        <v>73</v>
      </c>
      <c r="CX3" s="34" t="s">
        <v>75</v>
      </c>
      <c r="CY3" s="35" t="s">
        <v>92</v>
      </c>
      <c r="CZ3" s="36" t="s">
        <v>93</v>
      </c>
      <c r="DA3" s="36" t="s">
        <v>94</v>
      </c>
      <c r="DB3" s="36" t="s">
        <v>95</v>
      </c>
      <c r="DC3" s="35" t="s">
        <v>96</v>
      </c>
      <c r="DD3" s="36" t="s">
        <v>97</v>
      </c>
      <c r="DE3" s="36" t="s">
        <v>98</v>
      </c>
      <c r="DF3" s="36" t="s">
        <v>99</v>
      </c>
      <c r="DG3" s="35" t="s">
        <v>100</v>
      </c>
      <c r="DH3" s="36" t="s">
        <v>101</v>
      </c>
      <c r="DI3" s="36" t="s">
        <v>102</v>
      </c>
      <c r="DJ3" s="36" t="s">
        <v>103</v>
      </c>
      <c r="DK3" s="35" t="s">
        <v>104</v>
      </c>
      <c r="DL3" s="36" t="s">
        <v>105</v>
      </c>
      <c r="DM3" s="36" t="s">
        <v>106</v>
      </c>
      <c r="DN3" s="36" t="s">
        <v>107</v>
      </c>
      <c r="DO3" s="35" t="s">
        <v>108</v>
      </c>
      <c r="DP3" s="36" t="s">
        <v>109</v>
      </c>
      <c r="DQ3" s="36" t="s">
        <v>110</v>
      </c>
      <c r="DR3" s="36" t="s">
        <v>111</v>
      </c>
    </row>
    <row r="4" customFormat="false" ht="12.75" hidden="false" customHeight="false" outlineLevel="0" collapsed="false">
      <c r="A4" s="37" t="n">
        <v>1.1</v>
      </c>
      <c r="B4" s="38" t="n">
        <f aca="false">IFERROR(__xludf.dummyfunction("FILTER(FILTER('Data Scenarios 1-2'!$A$2:$BX$105,'Data Scenarios 1-2'!$A$1:$BX$1=""V_LAPTOP_3_OUTPUT""),'Data Scenarios 1-2'!$B$2:$B$105=$A4,'Data Scenarios 1-2'!$C$2:$C$105=""All"",'Data Scenarios 1-2'!$D$2:$D$105=""Mean"")"),18.9664124527777)</f>
        <v>18.9664124527777</v>
      </c>
      <c r="C4" s="3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1-2'!$D$2:$D$105=""Mean"")"),0.00249779060504669)</f>
        <v>0.00249779060504669</v>
      </c>
      <c r="D4" s="38" t="n">
        <f aca="false">IFERROR(__xludf.dummyfunction("FILTER(FILTER('Data Scenarios 1-2'!$A$2:$BX$105,'Data Scenarios 1-2'!$A$1:$BX$1=""P_LAPTOP_3_OUTPUT""),'Data Scenarios 1-2'!$B$2:$B$105=$A4,'Data Scenarios 1-2'!$C$2:$C$105=""All"",'Data Scenarios 1-2'!$D$2:$D$105=""Mean"")"),0.0473744176567339)</f>
        <v>0.0473744176567339</v>
      </c>
      <c r="E4" s="39" t="n">
        <v>0</v>
      </c>
      <c r="F4" s="38" t="n">
        <f aca="false">IFERROR(__xludf.dummyfunction("FILTER(FILTER('Data Scenarios 1-2'!$A$2:$BX$105,'Data Scenarios 1-2'!$A$1:$BX$1=""V_LAPTOP_4_OUTPUT""),'Data Scenarios 1-2'!$B$2:$B$105=$A4,'Data Scenarios 1-2'!$C$2:$C$105=""All"",'Data Scenarios 1-2'!$D$2:$D$105=""Mean"")"),18.6086607638888)</f>
        <v>18.6086607638888</v>
      </c>
      <c r="G4" s="3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1-2'!$D$2:$D$105=""Mean"")"),0.00346641942502291)</f>
        <v>0.00346641942502291</v>
      </c>
      <c r="H4" s="38" t="n">
        <f aca="false">IFERROR(__xludf.dummyfunction("FILTER(FILTER('Data Scenarios 1-2'!$A$2:$BX$105,'Data Scenarios 1-2'!$A$1:$BX$1=""P_LAPTOP_4_OUTPUT""),'Data Scenarios 1-2'!$B$2:$B$105=$A4,'Data Scenarios 1-2'!$C$2:$C$105=""All"",'Data Scenarios 1-2'!$D$2:$D$105=""Mean"")"),0.064505352796676)</f>
        <v>0.064505352796676</v>
      </c>
      <c r="I4" s="39" t="n">
        <v>0</v>
      </c>
      <c r="J4" s="38" t="n">
        <f aca="false">IFERROR(__xludf.dummyfunction("FILTER(FILTER('Data Scenarios 1-2'!$A$2:$BX$105,'Data Scenarios 1-2'!$A$1:$BX$1=""V_LAPTOP_5_OUTPUT""),'Data Scenarios 1-2'!$B$2:$B$105=$A4,'Data Scenarios 1-2'!$C$2:$C$105=""All"",'Data Scenarios 1-2'!$D$2:$D$105=""Mean"")"),18.7034377861111)</f>
        <v>18.7034377861111</v>
      </c>
      <c r="K4" s="3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1-2'!$D$2:$D$105=""Mean"")"),0.0104713002903103)</f>
        <v>0.0104713002903103</v>
      </c>
      <c r="L4" s="38" t="n">
        <f aca="false">IFERROR(__xludf.dummyfunction("FILTER(FILTER('Data Scenarios 1-2'!$A$2:$BX$105,'Data Scenarios 1-2'!$A$1:$BX$1=""P_LAPTOP_5_OUTPUT""),'Data Scenarios 1-2'!$B$2:$B$105=$A4,'Data Scenarios 1-2'!$C$2:$C$105=""All"",'Data Scenarios 1-2'!$D$2:$D$105=""Mean"")"),0.195849342067418)</f>
        <v>0.195849342067418</v>
      </c>
      <c r="M4" s="39" t="n">
        <v>0</v>
      </c>
      <c r="N4" s="38" t="n">
        <f aca="false">IFERROR(__xludf.dummyfunction("FILTER(FILTER('Data Scenarios 1-2'!$A$2:$BX$105,'Data Scenarios 1-2'!$A$1:$BX$1=""V_LED_1""),'Data Scenarios 1-2'!$B$2:$B$105=$A4,'Data Scenarios 1-2'!$C$2:$C$105=""All"",'Data Scenarios 1-2'!$D$2:$D$105=""Mean"")"),24.2465353805555)</f>
        <v>24.2465353805555</v>
      </c>
      <c r="O4" s="38" t="n">
        <f aca="false">IFERROR(__xludf.dummyfunction("FILTER(FILTER('Data Scenarios 1-2'!$A$2:$BX$105,'Data Scenarios 1-2'!$A$1:$BX$1=""I_LED_1""),'Data Scenarios 1-2'!$B$2:$B$105=$A4,'Data Scenarios 1-2'!$C$2:$C$105=""All"",'Data Scenarios 1-2'!$D$2:$D$105=""Mean"")"),0.0404965639065096)</f>
        <v>0.0404965639065096</v>
      </c>
      <c r="P4" s="38" t="n">
        <f aca="false">IFERROR(__xludf.dummyfunction("FILTER(FILTER('Data Scenarios 1-2'!$A$2:$BX$105,'Data Scenarios 1-2'!$A$1:$BX$1=""P_LED_1""),'Data Scenarios 1-2'!$B$2:$B$105=$A4,'Data Scenarios 1-2'!$C$2:$C$105=""All"",'Data Scenarios 1-2'!$D$2:$D$105=""Mean"")"),0.981901708845952)</f>
        <v>0.981901708845952</v>
      </c>
      <c r="Q4" s="39" t="n">
        <v>0</v>
      </c>
      <c r="R4" s="38" t="n">
        <f aca="false">IFERROR(__xludf.dummyfunction("FILTER(FILTER('Data Scenarios 1-2'!$A$2:$BX$105,'Data Scenarios 1-2'!$A$1:$BX$1=""V_LED_2""),'Data Scenarios 1-2'!$B$2:$B$105=$A4,'Data Scenarios 1-2'!$C$2:$C$105=""All"",'Data Scenarios 1-2'!$D$2:$D$105=""Mean"")"),24.1972713861111)</f>
        <v>24.1972713861111</v>
      </c>
      <c r="S4" s="38" t="n">
        <f aca="false">IFERROR(__xludf.dummyfunction("FILTER(FILTER('Data Scenarios 1-2'!$A$2:$BX$105,'Data Scenarios 1-2'!$A$1:$BX$1=""I_LED_2""),'Data Scenarios 1-2'!$B$2:$B$105=$A4,'Data Scenarios 1-2'!$C$2:$C$105=""All"",'Data Scenarios 1-2'!$D$2:$D$105=""Mean"")"),0.0214419589645443)</f>
        <v>0.0214419589645443</v>
      </c>
      <c r="T4" s="38" t="n">
        <f aca="false">IFERROR(__xludf.dummyfunction("FILTER(FILTER('Data Scenarios 1-2'!$A$2:$BX$105,'Data Scenarios 1-2'!$A$1:$BX$1=""P_LED_2""),'Data Scenarios 1-2'!$B$2:$B$105=$A4,'Data Scenarios 1-2'!$C$2:$C$105=""All"",'Data Scenarios 1-2'!$D$2:$D$105=""Mean"")"),0.518837435402305)</f>
        <v>0.518837435402305</v>
      </c>
      <c r="U4" s="39" t="n">
        <v>0</v>
      </c>
      <c r="V4" s="38" t="n">
        <f aca="false">IFERROR(__xludf.dummyfunction("FILTER(FILTER('Data Scenarios 1-2'!$A$2:$BX$105,'Data Scenarios 1-2'!$A$1:$BX$1=""V_LED_3""),'Data Scenarios 1-2'!$B$2:$B$105=$A4,'Data Scenarios 1-2'!$C$2:$C$105=""All"",'Data Scenarios 1-2'!$D$2:$D$105=""Mean"")"),24.1835504222222)</f>
        <v>24.1835504222222</v>
      </c>
      <c r="W4" s="38" t="n">
        <f aca="false">IFERROR(__xludf.dummyfunction("FILTER(FILTER('Data Scenarios 1-2'!$A$2:$BX$105,'Data Scenarios 1-2'!$A$1:$BX$1=""I_LED_3""),'Data Scenarios 1-2'!$B$2:$B$105=$A4,'Data Scenarios 1-2'!$C$2:$C$105=""All"",'Data Scenarios 1-2'!$D$2:$D$105=""Mean"")"),0.0414077693491158)</f>
        <v>0.0414077693491158</v>
      </c>
      <c r="X4" s="38" t="n">
        <f aca="false">IFERROR(__xludf.dummyfunction("FILTER(FILTER('Data Scenarios 1-2'!$A$2:$BX$105,'Data Scenarios 1-2'!$A$1:$BX$1=""P_LED_3""),'Data Scenarios 1-2'!$B$2:$B$105=$A4,'Data Scenarios 1-2'!$C$2:$C$105=""All"",'Data Scenarios 1-2'!$D$2:$D$105=""Mean"")"),1.00138697169095)</f>
        <v>1.00138697169095</v>
      </c>
      <c r="Y4" s="39" t="n">
        <v>0</v>
      </c>
      <c r="Z4" s="38" t="n">
        <f aca="false">IFERROR(__xludf.dummyfunction("FILTER(FILTER('Data Scenarios 1-2'!$A$2:$BX$105,'Data Scenarios 1-2'!$A$1:$BX$1=""V_OUT_PS1""),'Data Scenarios 1-2'!$B$2:$B$105=$A4,'Data Scenarios 1-2'!$C$2:$C$105=""All"",'Data Scenarios 1-2'!$D$2:$D$105=""Mean"")"),48.1924307444444)</f>
        <v>48.1924307444444</v>
      </c>
      <c r="AA4" s="40"/>
      <c r="AB4" s="41" t="n">
        <f aca="false">IFERROR(__xludf.dummyfunction("FILTER(FILTER('Data Scenarios 1-2'!$A$2:$BX$105,'Data Scenarios 1-2'!$A$1:$BX$1=""P_OUT_PS1""),'Data Scenarios 1-2'!$B$2:$B$105=$A4,'Data Scenarios 1-2'!$C$2:$C$105=""All"",'Data Scenarios 1-2'!$D$2:$D$105=""Mean"")"),2.58056709014344E-016)</f>
        <v>2.58056709014344E-016</v>
      </c>
      <c r="AC4" s="42" t="n">
        <v>0</v>
      </c>
      <c r="AD4" s="38" t="n">
        <f aca="false">IFERROR(__xludf.dummyfunction("FILTER(FILTER('Data Scenarios 1-2'!$A$2:$BX$105,'Data Scenarios 1-2'!$A$1:$BX$1=""V_OUT_PS2""),'Data Scenarios 1-2'!$B$2:$B$105=$A4,'Data Scenarios 1-2'!$C$2:$C$105=""All"",'Data Scenarios 1-2'!$D$2:$D$105=""Mean"")"),48.556308525)</f>
        <v>48.556308525</v>
      </c>
      <c r="AE4" s="40"/>
      <c r="AF4" s="41" t="n">
        <f aca="false">IFERROR(__xludf.dummyfunction("FILTER(FILTER('Data Scenarios 1-2'!$A$2:$BX$105,'Data Scenarios 1-2'!$A$1:$BX$1=""P_OUT_PS2""),'Data Scenarios 1-2'!$B$2:$B$105=$A4,'Data Scenarios 1-2'!$C$2:$C$105=""All"",'Data Scenarios 1-2'!$D$2:$D$105=""Mean"")"),2.61968344578623E-016)</f>
        <v>2.61968344578623E-016</v>
      </c>
      <c r="AG4" s="42" t="n">
        <v>0</v>
      </c>
      <c r="AH4" s="38" t="n">
        <f aca="false">IFERROR(__xludf.dummyfunction("FILTER(FILTER('Data Scenarios 1-2'!$A$2:$BX$105,'Data Scenarios 1-2'!$A$1:$BX$1=""V_OUT_PS3""),'Data Scenarios 1-2'!$B$2:$B$105=$A4,'Data Scenarios 1-2'!$C$2:$C$105=""All"",'Data Scenarios 1-2'!$D$2:$D$105=""Mean"")"),48.1948821916666)</f>
        <v>48.1948821916666</v>
      </c>
      <c r="AI4" s="40"/>
      <c r="AJ4" s="41" t="n">
        <f aca="false">IFERROR(__xludf.dummyfunction("FILTER(FILTER('Data Scenarios 1-2'!$A$2:$BX$105,'Data Scenarios 1-2'!$A$1:$BX$1=""P_OUT_PS3""),'Data Scenarios 1-2'!$B$2:$B$105=$A4,'Data Scenarios 1-2'!$C$2:$C$105=""All"",'Data Scenarios 1-2'!$D$2:$D$105=""Mean"")"),2.58082963375377E-016)</f>
        <v>2.58082963375377E-016</v>
      </c>
      <c r="AK4" s="43" t="n">
        <v>0</v>
      </c>
      <c r="AL4" s="44" t="n">
        <f aca="false">IFERROR(__xludf.dummyfunction("FILTER(FILTER('Data Scenarios 1-2'!$A$2:$BX$105,'Data Scenarios 1-2'!$A$1:$BX$1=""P_In""),'Data Scenarios 1-2'!$B$2:$B$105=$A4,'Data Scenarios 1-2'!$C$2:$C$105=""All"",'Data Scenarios 1-2'!$D$2:$D$105=""Mean"")"),101.825394083333)</f>
        <v>101.825394083333</v>
      </c>
      <c r="AM4" s="44" t="n">
        <f aca="false">IFERROR(__xludf.dummyfunction("FILTER(FILTER('Data Scenarios 1-2'!$A$2:$BX$105,'Data Scenarios 1-2'!$A$1:$BX$1=""P_Secondary""),'Data Scenarios 1-2'!$B$2:$B$105=$A4,'Data Scenarios 1-2'!$C$2:$C$105=""All"",'Data Scenarios 1-2'!$D$2:$D$105=""Mean"")"),50.3191635972222)</f>
        <v>50.3191635972222</v>
      </c>
      <c r="AN4" s="45" t="n">
        <f aca="false">IFERROR(__xludf.dummyfunction("FILTER(FILTER('Data Scenarios 1-2'!$A$2:$BX$105,'Data Scenarios 1-2'!$A$1:$BX$1=""P_Out""),'Data Scenarios 1-2'!$B$2:$B$105=$A4,'Data Scenarios 1-2'!$C$2:$C$105=""All"",'Data Scenarios 1-2'!$D$2:$D$105=""Mean"")"),2.80985522846004)</f>
        <v>2.80985522846004</v>
      </c>
      <c r="AO4" s="46" t="n">
        <f aca="false">E4+I4+M4+Q4+U4+Y4+AC4+AG4+AK4</f>
        <v>0</v>
      </c>
      <c r="AP4" s="45" t="n">
        <f aca="false">IFERROR(__xludf.dummyfunction("FILTER(FILTER('Data Scenarios 1-2'!$A$2:$BX$105,'Data Scenarios 1-2'!$A$1:$BX$1=""P_TransformerLoss""),'Data Scenarios 1-2'!$B$2:$B$105=$A4,'Data Scenarios 1-2'!$C$2:$C$105=""All"",'Data Scenarios 1-2'!$D$2:$D$105=""Mean"")"),51.5062304861111)</f>
        <v>51.5062304861111</v>
      </c>
      <c r="AQ4" s="41" t="n">
        <f aca="false">IFERROR(__xludf.dummyfunction("FILTER(FILTER('Data Scenarios 1-2'!$A$2:$BX$105,'Data Scenarios 1-2'!$A$1:$BX$1=""P_ConverterLoss""),'Data Scenarios 1-2'!$B$2:$B$105=$A4,'Data Scenarios 1-2'!$C$2:$C$105=""All"",'Data Scenarios 1-2'!$D$2:$D$105=""Mean"")"),47.5093083687621)</f>
        <v>47.5093083687621</v>
      </c>
      <c r="AR4" s="46" t="n">
        <f aca="false">AM4-AO4</f>
        <v>50.3191635972222</v>
      </c>
      <c r="AS4" s="41" t="n">
        <f aca="false">IFERROR(__xludf.dummyfunction("FILTER(FILTER('Data Scenarios 1-2'!$A$2:$BX$105,'Data Scenarios 1-2'!$A$1:$BX$1=""P_SystemLoss""),'Data Scenarios 1-2'!$B$2:$B$105=$A4,'Data Scenarios 1-2'!$C$2:$C$105=""All"",'Data Scenarios 1-2'!$D$2:$D$105=""Mean"")"),99.0155388548732)</f>
        <v>99.0155388548732</v>
      </c>
      <c r="AT4" s="46" t="n">
        <f aca="false">AL4-AO4</f>
        <v>101.825394083333</v>
      </c>
      <c r="AU4" s="47" t="n">
        <f aca="false">IFERROR(__xludf.dummyfunction("FILTER(FILTER('Data Scenarios 1-2'!$A$2:$BX$105,'Data Scenarios 1-2'!$A$1:$BX$1=""V_LAPTOP_3_OUTPUT""),'Data Scenarios 1-2'!$B$2:$B$105=$A4,'Data Scenarios 1-2'!$C$2:$C$105=""All"",'Data Scenarios 1-2'!$D$2:$D$105=""Standard Deviation"")"),0.00243584686049822)</f>
        <v>0.00243584686049822</v>
      </c>
      <c r="AV4" s="48" t="n">
        <f aca="false">IFERROR(__xludf.dummyfunction("FILTER(FILTER('Data Scenarios 1-2'!$A$2:$BX$105,'Data Scenarios 1-2'!$A$1:$BX$1=""I_LAPTOP_3_OUTPUT""),'Data Scenarios 1-2'!$B$2:$B$105=$A4,'Data Scenarios 1-2'!$C$2:$C$105=""All"",'Data Scenarios 1-2'!$D$2:$D$105=""Standard Deviation"")"),0.000177409288507487)</f>
        <v>0.000177409288507487</v>
      </c>
      <c r="AW4" s="49" t="n">
        <f aca="false">IFERROR(__xludf.dummyfunction("FILTER(FILTER('Data Scenarios 1-2'!$A$2:$BX$105,'Data Scenarios 1-2'!$A$1:$BX$1=""V_LAPTOP_3_OUTPUT * I_LAPTOP_3_OUTPUT""),'Data Scenarios 1-2'!$B$2:$B$105=$A4,'Data Scenarios 1-2'!$C$2:$C$105=""All"",'Data Scenarios 1-2'!$D$2:$D$105=""Covariance"")"),0.000000428554568453068)</f>
        <v>4.28554568453068E-007</v>
      </c>
      <c r="AX4" s="50" t="n">
        <f aca="false">IFERROR(__xludf.dummyfunction("FILTER(FILTER('Data Scenarios 1-2'!$A$2:$BX$105,'Data Scenarios 1-2'!$A$1:$BX$1=""P_LAPTOP_3_OUTPUT""),'Data Scenarios 1-2'!$B$2:$B$105=$A4,'Data Scenarios 1-2'!$C$2:$C$105=""All"",'Data Scenarios 1-2'!$D$2:$D$105=""Standard Deviation"")"),0.00337079827746357)</f>
        <v>0.00337079827746357</v>
      </c>
      <c r="AY4" s="51" t="n">
        <f aca="false">ABS(E4)*SQRT((AU4/B4)^2+(AV4/C4)^2+2*AW4/(B4*C4))</f>
        <v>0</v>
      </c>
      <c r="AZ4" s="47" t="n">
        <f aca="false">IFERROR(__xludf.dummyfunction("FILTER(FILTER('Data Scenarios 1-2'!$A$2:$BX$105,'Data Scenarios 1-2'!$A$1:$BX$1=""V_LAPTOP_4_OUTPUT""),'Data Scenarios 1-2'!$B$2:$B$105=$A4,'Data Scenarios 1-2'!$C$2:$C$105=""All"",'Data Scenarios 1-2'!$D$2:$D$105=""Standard Deviation"")"),0.00175416100070898)</f>
        <v>0.00175416100070898</v>
      </c>
      <c r="BA4" s="48" t="n">
        <f aca="false">IFERROR(__xludf.dummyfunction("FILTER(FILTER('Data Scenarios 1-2'!$A$2:$BX$105,'Data Scenarios 1-2'!$A$1:$BX$1=""I_LAPTOP_4_OUTPUT""),'Data Scenarios 1-2'!$B$2:$B$105=$A4,'Data Scenarios 1-2'!$C$2:$C$105=""All"",'Data Scenarios 1-2'!$D$2:$D$105=""Standard Deviation"")"),0.0000589581450021893)</f>
        <v>5.89581450021893E-005</v>
      </c>
      <c r="BB4" s="52" t="n">
        <f aca="false">IFERROR(__xludf.dummyfunction("FILTER(FILTER('Data Scenarios 1-2'!$A$2:$BX$105,'Data Scenarios 1-2'!$A$1:$BX$1=""V_LAPTOP_4_OUTPUT * I_LAPTOP_4_OUTPUT""),'Data Scenarios 1-2'!$B$2:$B$105=$A4,'Data Scenarios 1-2'!$C$2:$C$105=""All"",'Data Scenarios 1-2'!$D$2:$D$105=""Covariance"")"),-0.0000000992944080651717)</f>
        <v>-9.92944080651717E-008</v>
      </c>
      <c r="BC4" s="50" t="n">
        <f aca="false">IFERROR(__xludf.dummyfunction("FILTER(FILTER('Data Scenarios 1-2'!$A$2:$BX$105,'Data Scenarios 1-2'!$A$1:$BX$1=""P_LAPTOP_4_OUTPUT""),'Data Scenarios 1-2'!$B$2:$B$105=$A4,'Data Scenarios 1-2'!$C$2:$C$105=""All"",'Data Scenarios 1-2'!$D$2:$D$105=""Standard Deviation"")"),0.00109133547895511)</f>
        <v>0.00109133547895511</v>
      </c>
      <c r="BD4" s="51" t="n">
        <f aca="false">ABS(I4)*SQRT((AZ4/F4)^2+(BA4/G4)^2+2*BB4/(F4*G4))</f>
        <v>0</v>
      </c>
      <c r="BE4" s="47" t="n">
        <f aca="false">IFERROR(__xludf.dummyfunction("FILTER(FILTER('Data Scenarios 1-2'!$A$2:$BX$105,'Data Scenarios 1-2'!$A$1:$BX$1=""V_LAPTOP_5_OUTPUT""),'Data Scenarios 1-2'!$B$2:$B$105=$A4,'Data Scenarios 1-2'!$C$2:$C$105=""All"",'Data Scenarios 1-2'!$D$2:$D$105=""Standard Deviation"")"),0.000353609167719366)</f>
        <v>0.000353609167719366</v>
      </c>
      <c r="BF4" s="48" t="n">
        <f aca="false">IFERROR(__xludf.dummyfunction("FILTER(FILTER('Data Scenarios 1-2'!$A$2:$BX$105,'Data Scenarios 1-2'!$A$1:$BX$1=""I_LAPTOP_5_OUTPUT""),'Data Scenarios 1-2'!$B$2:$B$105=$A4,'Data Scenarios 1-2'!$C$2:$C$105=""All"",'Data Scenarios 1-2'!$D$2:$D$105=""Standard Deviation"")"),0.000135735451926398)</f>
        <v>0.000135735451926398</v>
      </c>
      <c r="BG4" s="52" t="n">
        <f aca="false">IFERROR(__xludf.dummyfunction("FILTER(FILTER('Data Scenarios 1-2'!$A$2:$BX$105,'Data Scenarios 1-2'!$A$1:$BX$1=""V_LAPTOP_5_OUTPUT * I_LAPTOP_5_OUTPUT""),'Data Scenarios 1-2'!$B$2:$B$105=$A4,'Data Scenarios 1-2'!$C$2:$C$105=""All"",'Data Scenarios 1-2'!$D$2:$D$105=""Covariance"")"),0.0000000433724099824134)</f>
        <v>4.33724099824134E-008</v>
      </c>
      <c r="BH4" s="50" t="n">
        <f aca="false">IFERROR(__xludf.dummyfunction("FILTER(FILTER('Data Scenarios 1-2'!$A$2:$BX$105,'Data Scenarios 1-2'!$A$1:$BX$1=""P_LAPTOP_5_OUTPUT""),'Data Scenarios 1-2'!$B$2:$B$105=$A4,'Data Scenarios 1-2'!$C$2:$C$105=""All"",'Data Scenarios 1-2'!$D$2:$D$105=""Standard Deviation"")"),0.00254203942937429)</f>
        <v>0.00254203942937429</v>
      </c>
      <c r="BI4" s="51" t="n">
        <f aca="false">ABS(M4)*SQRT((BE4/J4)^2+(BF4/K4)^2+2*BG4/(J4*K4))</f>
        <v>0</v>
      </c>
      <c r="BJ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K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L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M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N4" s="51" t="n">
        <f aca="false">ABS(Q4)*SQRT((BJ4/N4)^2+(BK4/O4)^2+2*BL4/(N4*O4))</f>
        <v>0</v>
      </c>
      <c r="BO4" s="47" t="n">
        <f aca="false">IFERROR(__xludf.dummyfunction("FILTER(FILTER('Data Scenarios 1-2'!$A$2:$BX$105,'Data Scenarios 1-2'!$A$1:$BX$1=""V_LED_2""),'Data Scenarios 1-2'!$B$2:$B$105=$A4,'Data Scenarios 1-2'!$C$2:$C$105=""All"",'Data Scenarios 1-2'!$D$2:$D$105=""Standard Deviation"")"),0.00489812446780389)</f>
        <v>0.00489812446780389</v>
      </c>
      <c r="BP4" s="48" t="n">
        <f aca="false">IFERROR(__xludf.dummyfunction("FILTER(FILTER('Data Scenarios 1-2'!$A$2:$BX$105,'Data Scenarios 1-2'!$A$1:$BX$1=""I_LED_2""),'Data Scenarios 1-2'!$B$2:$B$105=$A4,'Data Scenarios 1-2'!$C$2:$C$105=""All"",'Data Scenarios 1-2'!$D$2:$D$105=""Standard Deviation"")"),0.000162770382932117)</f>
        <v>0.000162770382932117</v>
      </c>
      <c r="BQ4" s="52" t="n">
        <f aca="false">IFERROR(__xludf.dummyfunction("FILTER(FILTER('Data Scenarios 1-2'!$A$2:$BX$105,'Data Scenarios 1-2'!$A$1:$BX$1=""V_LED_2 * I_LED_2""),'Data Scenarios 1-2'!$B$2:$B$105=$A4,'Data Scenarios 1-2'!$C$2:$C$105=""All"",'Data Scenarios 1-2'!$D$2:$D$105=""Covariance"")"),0.000000763537714887575)</f>
        <v>7.63537714887575E-007</v>
      </c>
      <c r="BR4" s="50" t="n">
        <f aca="false">IFERROR(__xludf.dummyfunction("FILTER(FILTER('Data Scenarios 1-2'!$A$2:$BX$105,'Data Scenarios 1-2'!$A$1:$BX$1=""P_LED_2""),'Data Scenarios 1-2'!$B$2:$B$105=$A4,'Data Scenarios 1-2'!$C$2:$C$105=""All"",'Data Scenarios 1-2'!$D$2:$D$105=""Standard Deviation"")"),0.00403911959758972)</f>
        <v>0.00403911959758972</v>
      </c>
      <c r="BS4" s="51" t="n">
        <f aca="false">ABS(U4)*SQRT((BO4/R4)^2+(BP4/S4)^2+2*BQ4/(R4*S4))</f>
        <v>0</v>
      </c>
      <c r="BT4" s="47" t="n">
        <f aca="false">IFERROR(__xludf.dummyfunction("FILTER(FILTER('Data Scenarios 1-2'!$A$2:$BX$105,'Data Scenarios 1-2'!$A$1:$BX$1=""V_LED_1""),'Data Scenarios 1-2'!$B$2:$B$105=$A4,'Data Scenarios 1-2'!$C$2:$C$105=""All"",'Data Scenarios 1-2'!$D$2:$D$105=""Standard Deviation"")"),0.0043774434917376)</f>
        <v>0.0043774434917376</v>
      </c>
      <c r="BU4" s="48" t="n">
        <f aca="false">IFERROR(__xludf.dummyfunction("FILTER(FILTER('Data Scenarios 1-2'!$A$2:$BX$105,'Data Scenarios 1-2'!$A$1:$BX$1=""I_LED_1""),'Data Scenarios 1-2'!$B$2:$B$105=$A4,'Data Scenarios 1-2'!$C$2:$C$105=""All"",'Data Scenarios 1-2'!$D$2:$D$105=""Standard Deviation"")"),0.000134979004090344)</f>
        <v>0.000134979004090344</v>
      </c>
      <c r="BV4" s="52" t="n">
        <f aca="false">IFERROR(__xludf.dummyfunction("FILTER(FILTER('Data Scenarios 1-2'!$A$2:$BX$105,'Data Scenarios 1-2'!$A$1:$BX$1=""V_LED_1 * I_LED_1""),'Data Scenarios 1-2'!$B$2:$B$105=$A4,'Data Scenarios 1-2'!$C$2:$C$105=""All"",'Data Scenarios 1-2'!$D$2:$D$105=""Covariance"")"),0.000000549391816577461)</f>
        <v>5.49391816577461E-007</v>
      </c>
      <c r="BW4" s="50" t="n">
        <f aca="false">IFERROR(__xludf.dummyfunction("FILTER(FILTER('Data Scenarios 1-2'!$A$2:$BX$105,'Data Scenarios 1-2'!$A$1:$BX$1=""P_LED_1""),'Data Scenarios 1-2'!$B$2:$B$105=$A4,'Data Scenarios 1-2'!$C$2:$C$105=""All"",'Data Scenarios 1-2'!$D$2:$D$105=""Standard Deviation"")"),0.00343791747334467)</f>
        <v>0.00343791747334467</v>
      </c>
      <c r="BX4" s="53" t="n">
        <f aca="false">ABS(Y4)*SQRT((BT4/V4)^2+(BU4/W4)^2+2*BV4/(V4*W4))</f>
        <v>0</v>
      </c>
      <c r="BY4" s="54" t="n">
        <f aca="false">IFERROR(__xludf.dummyfunction("FILTER(FILTER('Data Scenarios 1-2'!$A$2:$BX$105,'Data Scenarios 1-2'!$A$1:$BX$1=""V_OUT_PS1""),'Data Scenarios 1-2'!$B$2:$B$105=$A4,'Data Scenarios 1-2'!$C$2:$C$105=""All"",'Data Scenarios 1-2'!$D$2:$D$105=""Standard Deviation"")"),0.00018776366319628)</f>
        <v>0.00018776366319628</v>
      </c>
      <c r="BZ4" s="55" t="n">
        <v>0</v>
      </c>
      <c r="CA4" s="38" t="n">
        <f aca="false">IFERROR(__xludf.dummyfunction("FILTER(FILTER('Data Scenarios 1-2'!$A$2:$BX$105,'Data Scenarios 1-2'!$A$1:$BX$1=""P_OUT_PS1""),'Data Scenarios 1-2'!$B$2:$B$105=$A4,'Data Scenarios 1-2'!$C$2:$C$105=""All"",'Data Scenarios 1-2'!$D$2:$D$105=""Standard Deviation"")"),2.01084387334435E-021)</f>
        <v>2.01084387334435E-021</v>
      </c>
      <c r="CB4" s="56" t="n">
        <v>0</v>
      </c>
      <c r="CC4" s="54" t="n">
        <f aca="false">IFERROR(__xludf.dummyfunction("FILTER(FILTER('Data Scenarios 1-2'!$A$2:$BX$105,'Data Scenarios 1-2'!$A$1:$BX$1=""V_OUT_PS2""),'Data Scenarios 1-2'!$B$2:$B$105=$A4,'Data Scenarios 1-2'!$C$2:$C$105=""All"",'Data Scenarios 1-2'!$D$2:$D$105=""Standard Deviation"")"),0.00229788226060508)</f>
        <v>0.00229788226060508</v>
      </c>
      <c r="CD4" s="55" t="n">
        <v>0</v>
      </c>
      <c r="CE4" s="38" t="n">
        <f aca="false">IFERROR(__xludf.dummyfunction("FILTER(FILTER('Data Scenarios 1-2'!$A$2:$BX$105,'Data Scenarios 1-2'!$A$1:$BX$1=""P_OUT_PS2""),'Data Scenarios 1-2'!$B$2:$B$105=$A4,'Data Scenarios 1-2'!$C$2:$C$105=""All"",'Data Scenarios 1-2'!$D$2:$D$105=""Standard Deviation"")"),2.479497572225E-020)</f>
        <v>2.479497572225E-020</v>
      </c>
      <c r="CF4" s="56" t="n">
        <v>0</v>
      </c>
      <c r="CG4" s="54" t="n">
        <f aca="false">IFERROR(__xludf.dummyfunction("FILTER(FILTER('Data Scenarios 1-2'!$A$2:$BX$105,'Data Scenarios 1-2'!$A$1:$BX$1=""V_OUT_PS3""),'Data Scenarios 1-2'!$B$2:$B$105=$A4,'Data Scenarios 1-2'!$C$2:$C$105=""All"",'Data Scenarios 1-2'!$D$2:$D$105=""Standard Deviation"")"),0.00113492730313588)</f>
        <v>0.00113492730313588</v>
      </c>
      <c r="CH4" s="55" t="n">
        <v>0</v>
      </c>
      <c r="CI4" s="38" t="n">
        <f aca="false">IFERROR(__xludf.dummyfunction("FILTER(FILTER('Data Scenarios 1-2'!$A$2:$BX$105,'Data Scenarios 1-2'!$A$1:$BX$1=""P_OUT_PS3""),'Data Scenarios 1-2'!$B$2:$B$105=$A4,'Data Scenarios 1-2'!$C$2:$C$105=""All"",'Data Scenarios 1-2'!$D$2:$D$105=""Standard Deviation"")"),1.21550417857613E-020)</f>
        <v>1.21550417857613E-020</v>
      </c>
      <c r="CJ4" s="56" t="n">
        <v>0</v>
      </c>
      <c r="CK4" s="57" t="n">
        <f aca="false">IFERROR(__xludf.dummyfunction("FILTER(FILTER('Data Scenarios 1-2'!$A$2:$BX$105,'Data Scenarios 1-2'!$A$1:$BX$1=""P_In""),'Data Scenarios 1-2'!$B$2:$B$105=$A4,'Data Scenarios 1-2'!$C$2:$C$105=""All"",'Data Scenarios 1-2'!$D$2:$D$105=""Standard Deviation"")"),0.10805548880552)</f>
        <v>0.10805548880552</v>
      </c>
      <c r="CL4" s="58" t="n">
        <f aca="false">IFERROR(__xludf.dummyfunction("FILTER(FILTER('Data Scenarios 1-2'!$A$2:$BX$105,'Data Scenarios 1-2'!$A$1:$BX$1=""P_Secondary""),'Data Scenarios 1-2'!$B$2:$B$105=$A4,'Data Scenarios 1-2'!$C$2:$C$105=""All"",'Data Scenarios 1-2'!$D$2:$D$105=""Standard Deviation"")"),0.0743430702439137)</f>
        <v>0.0743430702439137</v>
      </c>
      <c r="CM4" s="59" t="n">
        <f aca="false">IFERROR(__xludf.dummyfunction("FILTER(FILTER('Data Scenarios 1-2'!$A$2:$BX$105,'Data Scenarios 1-2'!$A$1:$BX$1=""P_Out""),'Data Scenarios 1-2'!$B$2:$B$105=$A4,'Data Scenarios 1-2'!$C$2:$C$105=""All"",'Data Scenarios 1-2'!$D$2:$D$105=""Standard Deviation"")"),0.0108642846327313)</f>
        <v>0.0108642846327313</v>
      </c>
      <c r="CN4" s="60" t="n">
        <f aca="false">SQRT(AX4^2+BC4^2+BH4^2+BM4^2+BR4^2+BW4^2+CB4^2+CF4^2+CJ4^2)</f>
        <v>0.00767908190125367</v>
      </c>
      <c r="CO4" s="59" t="n">
        <f aca="false">IFERROR(__xludf.dummyfunction("FILTER(FILTER('Data Scenarios 1-2'!$A$2:$BX$105,'Data Scenarios 1-2'!$A$1:$BX$1=""P_TransformerLoss""),'Data Scenarios 1-2'!$B$2:$B$105=$A4,'Data Scenarios 1-2'!$C$2:$C$105=""All"",'Data Scenarios 1-2'!$D$2:$D$105=""Standard Deviation"")"),0.04879131675385)</f>
        <v>0.04879131675385</v>
      </c>
      <c r="CP4" s="38" t="n">
        <f aca="false">IFERROR(__xludf.dummyfunction("FILTER(FILTER('Data Scenarios 1-2'!$A$2:$BX$105,'Data Scenarios 1-2'!$A$1:$BX$1=""P_ConverterLoss""),'Data Scenarios 1-2'!$B$2:$B$105=$A4,'Data Scenarios 1-2'!$C$2:$C$105=""All"",'Data Scenarios 1-2'!$D$2:$D$105=""Standard Deviation"")"),0.0850986326867977)</f>
        <v>0.0850986326867977</v>
      </c>
      <c r="CQ4" s="61" t="n">
        <f aca="false">SQRT(CL4^2+MAX(CM4:CN4)^2)</f>
        <v>0.0751327144050612</v>
      </c>
      <c r="CR4" s="38" t="n">
        <f aca="false">IFERROR(__xludf.dummyfunction("FILTER(FILTER('Data Scenarios 1-2'!$A$2:$BX$105,'Data Scenarios 1-2'!$A$1:$BX$1=""P_SystemLoss""),'Data Scenarios 1-2'!$B$2:$B$105=$A4,'Data Scenarios 1-2'!$C$2:$C$105=""All"",'Data Scenarios 1-2'!$D$2:$D$105=""Standard Deviation"")"),0.118625665236616)</f>
        <v>0.118625665236616</v>
      </c>
      <c r="CS4" s="62" t="n">
        <f aca="false">SQRT(CK4^2+MAX(CM4:CN4)^2)</f>
        <v>0.108600282419434</v>
      </c>
      <c r="CT4" s="63" t="n">
        <v>99.2241061198027</v>
      </c>
      <c r="CU4" s="64" t="n">
        <v>51.3339971393815</v>
      </c>
      <c r="CV4" s="64" t="n">
        <v>47.8901089804212</v>
      </c>
      <c r="CW4" s="64" t="n">
        <v>51.2439971393815</v>
      </c>
      <c r="CX4" s="64" t="n">
        <v>99.1341061198027</v>
      </c>
      <c r="CY4" s="45" t="n">
        <f aca="false">CT4-AL4</f>
        <v>-2.6012879635303</v>
      </c>
      <c r="CZ4" s="65" t="n">
        <f aca="false">TINV(0.1,2)*CK4/SQRT(3)</f>
        <v>0.182165827821794</v>
      </c>
      <c r="DA4" s="66" t="n">
        <f aca="false">CY4/AL4</f>
        <v>-0.0255465543438155</v>
      </c>
      <c r="DB4" s="67" t="n">
        <f aca="false">CZ4/AL4</f>
        <v>0.00178900194260688</v>
      </c>
      <c r="DC4" s="45" t="n">
        <f aca="false">CU4-AM4</f>
        <v>1.0148335421593</v>
      </c>
      <c r="DD4" s="65" t="n">
        <f aca="false">TINV(0.1,2)*CL4/SQRT(3)</f>
        <v>0.125331596603767</v>
      </c>
      <c r="DE4" s="66" t="n">
        <f aca="false">DC4/AM4</f>
        <v>0.0201679334394844</v>
      </c>
      <c r="DF4" s="67" t="n">
        <f aca="false">DD4/AM4</f>
        <v>0.0024907329065916</v>
      </c>
      <c r="DG4" s="45" t="n">
        <f aca="false">CV4-AP4</f>
        <v>-3.6161215056899</v>
      </c>
      <c r="DH4" s="65" t="n">
        <f aca="false">TINV(0.1,2)*CO4/SQRT(3)</f>
        <v>0.0822550590000794</v>
      </c>
      <c r="DI4" s="66" t="n">
        <f aca="false">DG4/AP4</f>
        <v>-0.0702074578465803</v>
      </c>
      <c r="DJ4" s="66" t="n">
        <f aca="false">DH4/AP4</f>
        <v>0.00159699240701103</v>
      </c>
      <c r="DK4" s="45" t="n">
        <f aca="false">CW4-AR4</f>
        <v>0.924833542159298</v>
      </c>
      <c r="DL4" s="65" t="n">
        <f aca="false">TINV(0.1,2)*CP4/SQRT(3)</f>
        <v>0.143463909527022</v>
      </c>
      <c r="DM4" s="66" t="n">
        <f aca="false">DK4/AR4</f>
        <v>0.0183793504510944</v>
      </c>
      <c r="DN4" s="67" t="n">
        <f aca="false">DL4/AR4</f>
        <v>0.00285107897808822</v>
      </c>
      <c r="DO4" s="45" t="n">
        <f aca="false">CX4-AT4</f>
        <v>-2.6912879635303</v>
      </c>
      <c r="DP4" s="65" t="n">
        <f aca="false">TINV(0.1,2)*CR4/SQRT(3)</f>
        <v>0.199985606910098</v>
      </c>
      <c r="DQ4" s="66" t="n">
        <f aca="false">DO4/AT4</f>
        <v>-0.0264304203068222</v>
      </c>
      <c r="DR4" s="66" t="n">
        <f aca="false">DP4/AT4</f>
        <v>0.00196400523376744</v>
      </c>
    </row>
    <row r="5" customFormat="false" ht="12.75" hidden="false" customHeight="false" outlineLevel="0" collapsed="false">
      <c r="A5" s="37" t="n">
        <v>1.2</v>
      </c>
      <c r="B5" s="38" t="n">
        <f aca="false">IFERROR(__xludf.dummyfunction("FILTER(FILTER('Data Scenarios 1-2'!$A$2:$BX$105,'Data Scenarios 1-2'!$A$1:$BX$1=""V_LAPTOP_3_OUTPUT""),'Data Scenarios 1-2'!$B$2:$B$105=$A5,'Data Scenarios 1-2'!$C$2:$C$105=""All"",'Data Scenarios 1-2'!$D$2:$D$105=""Mean"")"),18.2863502694444)</f>
        <v>18.2863502694444</v>
      </c>
      <c r="C5" s="65" t="n">
        <f aca="false">IFERROR(__xludf.dummyfunction("FILTER(FILTER('Data Scenarios 1-2'!$A$2:$BX$105,'Data Scenarios 1-2'!$A$1:$BX$1=""I_LAPTOP_3_OUTPUT""),'Data Scenarios 1-2'!$B$2:$B$105=$A5,'Data Scenarios 1-2'!$C$2:$C$105=""All"",'Data Scenarios 1-2'!$D$2:$D$105=""Mean"")"),3.97063937924364)</f>
        <v>3.97063937924364</v>
      </c>
      <c r="D5" s="65" t="n">
        <f aca="false">IFERROR(__xludf.dummyfunction("FILTER(FILTER('Data Scenarios 1-2'!$A$2:$BX$105,'Data Scenarios 1-2'!$A$1:$BX$1=""P_LAPTOP_3_OUTPUT""),'Data Scenarios 1-2'!$B$2:$B$105=$A5,'Data Scenarios 1-2'!$C$2:$C$105=""All"",'Data Scenarios 1-2'!$D$2:$D$105=""Mean"")"),72.6085176397332)</f>
        <v>72.6085176397332</v>
      </c>
      <c r="E5" s="68" t="n">
        <f aca="false">B5*C5</f>
        <v>72.6085024824985</v>
      </c>
      <c r="F5" s="38" t="n">
        <f aca="false">IFERROR(__xludf.dummyfunction("FILTER(FILTER('Data Scenarios 1-2'!$A$2:$BX$105,'Data Scenarios 1-2'!$A$1:$BX$1=""V_LAPTOP_4_OUTPUT""),'Data Scenarios 1-2'!$B$2:$B$105=$A5,'Data Scenarios 1-2'!$C$2:$C$105=""All"",'Data Scenarios 1-2'!$D$2:$D$105=""Mean"")"),18.1997711805555)</f>
        <v>18.1997711805555</v>
      </c>
      <c r="G5" s="38" t="n">
        <f aca="false">IFERROR(__xludf.dummyfunction("FILTER(FILTER('Data Scenarios 1-2'!$A$2:$BX$105,'Data Scenarios 1-2'!$A$1:$BX$1=""I_LAPTOP_4_OUTPUT""),'Data Scenarios 1-2'!$B$2:$B$105=$A5,'Data Scenarios 1-2'!$C$2:$C$105=""All"",'Data Scenarios 1-2'!$D$2:$D$105=""Mean"")"),3.9150249234497)</f>
        <v>3.9150249234497</v>
      </c>
      <c r="H5" s="65" t="n">
        <f aca="false">IFERROR(__xludf.dummyfunction("FILTER(FILTER('Data Scenarios 1-2'!$A$2:$BX$105,'Data Scenarios 1-2'!$A$1:$BX$1=""P_LAPTOP_4_OUTPUT""),'Data Scenarios 1-2'!$B$2:$B$105=$A5,'Data Scenarios 1-2'!$C$2:$C$105=""All"",'Data Scenarios 1-2'!$D$2:$D$105=""Mean"")"),71.2525512624714)</f>
        <v>71.2525512624714</v>
      </c>
      <c r="I5" s="68" t="n">
        <f aca="false">F5*G5</f>
        <v>71.2525577729564</v>
      </c>
      <c r="J5" s="38" t="n">
        <f aca="false">IFERROR(__xludf.dummyfunction("FILTER(FILTER('Data Scenarios 1-2'!$A$2:$BX$105,'Data Scenarios 1-2'!$A$1:$BX$1=""V_LAPTOP_5_OUTPUT""),'Data Scenarios 1-2'!$B$2:$B$105=$A5,'Data Scenarios 1-2'!$C$2:$C$105=""All"",'Data Scenarios 1-2'!$D$2:$D$105=""Mean"")"),18.2466226388888)</f>
        <v>18.2466226388888</v>
      </c>
      <c r="K5" s="38" t="n">
        <f aca="false">IFERROR(__xludf.dummyfunction("FILTER(FILTER('Data Scenarios 1-2'!$A$2:$BX$105,'Data Scenarios 1-2'!$A$1:$BX$1=""I_LAPTOP_5_OUTPUT""),'Data Scenarios 1-2'!$B$2:$B$105=$A5,'Data Scenarios 1-2'!$C$2:$C$105=""All"",'Data Scenarios 1-2'!$D$2:$D$105=""Mean"")"),3.88666077688244)</f>
        <v>3.88666077688244</v>
      </c>
      <c r="L5" s="65" t="n">
        <f aca="false">IFERROR(__xludf.dummyfunction("FILTER(FILTER('Data Scenarios 1-2'!$A$2:$BX$105,'Data Scenarios 1-2'!$A$1:$BX$1=""P_LAPTOP_5_OUTPUT""),'Data Scenarios 1-2'!$B$2:$B$105=$A5,'Data Scenarios 1-2'!$C$2:$C$105=""All"",'Data Scenarios 1-2'!$D$2:$D$105=""Mean"")"),70.91842509753)</f>
        <v>70.91842509753</v>
      </c>
      <c r="M5" s="68" t="n">
        <f aca="false">J5*K5</f>
        <v>70.9184325211443</v>
      </c>
      <c r="N5" s="38" t="n">
        <f aca="false">IFERROR(__xludf.dummyfunction("FILTER(FILTER('Data Scenarios 1-2'!$A$2:$BX$105,'Data Scenarios 1-2'!$A$1:$BX$1=""V_LED_1""),'Data Scenarios 1-2'!$B$2:$B$105=$A5,'Data Scenarios 1-2'!$C$2:$C$105=""All"",'Data Scenarios 1-2'!$D$2:$D$105=""Mean"")"),24.1491545777777)</f>
        <v>24.1491545777777</v>
      </c>
      <c r="O5" s="38" t="n">
        <f aca="false">IFERROR(__xludf.dummyfunction("FILTER(FILTER('Data Scenarios 1-2'!$A$2:$BX$105,'Data Scenarios 1-2'!$A$1:$BX$1=""I_LED_1""),'Data Scenarios 1-2'!$B$2:$B$105=$A5,'Data Scenarios 1-2'!$C$2:$C$105=""All"",'Data Scenarios 1-2'!$D$2:$D$105=""Mean"")"),1.16554962874979)</f>
        <v>1.16554962874979</v>
      </c>
      <c r="P5" s="65" t="n">
        <f aca="false">IFERROR(__xludf.dummyfunction("FILTER(FILTER('Data Scenarios 1-2'!$A$2:$BX$105,'Data Scenarios 1-2'!$A$1:$BX$1=""P_LED_1""),'Data Scenarios 1-2'!$B$2:$B$105=$A5,'Data Scenarios 1-2'!$C$2:$C$105=""All"",'Data Scenarios 1-2'!$D$2:$D$105=""Mean"")"),28.1469293074319)</f>
        <v>28.1469293074319</v>
      </c>
      <c r="Q5" s="69" t="n">
        <f aca="false">N5*O5</f>
        <v>28.1470381527501</v>
      </c>
      <c r="R5" s="38" t="n">
        <f aca="false">IFERROR(__xludf.dummyfunction("FILTER(FILTER('Data Scenarios 1-2'!$A$2:$BX$105,'Data Scenarios 1-2'!$A$1:$BX$1=""V_LED_2""),'Data Scenarios 1-2'!$B$2:$B$105=$A5,'Data Scenarios 1-2'!$C$2:$C$105=""All"",'Data Scenarios 1-2'!$D$2:$D$105=""Mean"")"),24.0675166277777)</f>
        <v>24.0675166277777</v>
      </c>
      <c r="S5" s="38" t="n">
        <f aca="false">IFERROR(__xludf.dummyfunction("FILTER(FILTER('Data Scenarios 1-2'!$A$2:$BX$105,'Data Scenarios 1-2'!$A$1:$BX$1=""I_LED_2""),'Data Scenarios 1-2'!$B$2:$B$105=$A5,'Data Scenarios 1-2'!$C$2:$C$105=""All"",'Data Scenarios 1-2'!$D$2:$D$105=""Mean"")"),1.18952656732037)</f>
        <v>1.18952656732037</v>
      </c>
      <c r="T5" s="65" t="n">
        <f aca="false">IFERROR(__xludf.dummyfunction("FILTER(FILTER('Data Scenarios 1-2'!$A$2:$BX$105,'Data Scenarios 1-2'!$A$1:$BX$1=""P_LED_2""),'Data Scenarios 1-2'!$B$2:$B$105=$A5,'Data Scenarios 1-2'!$C$2:$C$105=""All"",'Data Scenarios 1-2'!$D$2:$D$105=""Mean"")"),28.6288362229295)</f>
        <v>28.6288362229295</v>
      </c>
      <c r="U5" s="69" t="n">
        <f aca="false">R5*S5</f>
        <v>28.6289504381663</v>
      </c>
      <c r="V5" s="38" t="n">
        <f aca="false">IFERROR(__xludf.dummyfunction("FILTER(FILTER('Data Scenarios 1-2'!$A$2:$BX$105,'Data Scenarios 1-2'!$A$1:$BX$1=""V_LED_3""),'Data Scenarios 1-2'!$B$2:$B$105=$A5,'Data Scenarios 1-2'!$C$2:$C$105=""All"",'Data Scenarios 1-2'!$D$2:$D$105=""Mean"")"),24.0951244694444)</f>
        <v>24.0951244694444</v>
      </c>
      <c r="W5" s="38" t="n">
        <f aca="false">IFERROR(__xludf.dummyfunction("FILTER(FILTER('Data Scenarios 1-2'!$A$2:$BX$105,'Data Scenarios 1-2'!$A$1:$BX$1=""I_LED_3""),'Data Scenarios 1-2'!$B$2:$B$105=$A5,'Data Scenarios 1-2'!$C$2:$C$105=""All"",'Data Scenarios 1-2'!$D$2:$D$105=""Mean"")"),1.14777234723803)</f>
        <v>1.14777234723803</v>
      </c>
      <c r="X5" s="65" t="n">
        <f aca="false">IFERROR(__xludf.dummyfunction("FILTER(FILTER('Data Scenarios 1-2'!$A$2:$BX$105,'Data Scenarios 1-2'!$A$1:$BX$1=""P_LED_3""),'Data Scenarios 1-2'!$B$2:$B$105=$A5,'Data Scenarios 1-2'!$C$2:$C$105=""All"",'Data Scenarios 1-2'!$D$2:$D$105=""Mean"")"),27.655601269483)</f>
        <v>27.655601269483</v>
      </c>
      <c r="Y5" s="69" t="n">
        <f aca="false">V5*W5</f>
        <v>27.6557175692867</v>
      </c>
      <c r="Z5" s="38" t="n">
        <f aca="false">IFERROR(__xludf.dummyfunction("FILTER(FILTER('Data Scenarios 1-2'!$A$2:$BX$105,'Data Scenarios 1-2'!$A$1:$BX$1=""V_OUT_PS1""),'Data Scenarios 1-2'!$B$2:$B$105=$A5,'Data Scenarios 1-2'!$C$2:$C$105=""All"",'Data Scenarios 1-2'!$D$2:$D$105=""Mean"")"),48.1935178777777)</f>
        <v>48.1935178777777</v>
      </c>
      <c r="AA5" s="40"/>
      <c r="AB5" s="41" t="n">
        <f aca="false">IFERROR(__xludf.dummyfunction("FILTER(FILTER('Data Scenarios 1-2'!$A$2:$BX$105,'Data Scenarios 1-2'!$A$1:$BX$1=""P_OUT_PS1""),'Data Scenarios 1-2'!$B$2:$B$105=$A5,'Data Scenarios 1-2'!$C$2:$C$105=""All"",'Data Scenarios 1-2'!$D$2:$D$105=""Mean"")"),2.58068351770181E-016)</f>
        <v>2.58068351770181E-016</v>
      </c>
      <c r="AC5" s="42" t="n">
        <v>0</v>
      </c>
      <c r="AD5" s="38" t="n">
        <f aca="false">IFERROR(__xludf.dummyfunction("FILTER(FILTER('Data Scenarios 1-2'!$A$2:$BX$105,'Data Scenarios 1-2'!$A$1:$BX$1=""V_OUT_PS2""),'Data Scenarios 1-2'!$B$2:$B$105=$A5,'Data Scenarios 1-2'!$C$2:$C$105=""All"",'Data Scenarios 1-2'!$D$2:$D$105=""Mean"")"),48.5702471972222)</f>
        <v>48.5702471972222</v>
      </c>
      <c r="AE5" s="40"/>
      <c r="AF5" s="41" t="n">
        <f aca="false">IFERROR(__xludf.dummyfunction("FILTER(FILTER('Data Scenarios 1-2'!$A$2:$BX$105,'Data Scenarios 1-2'!$A$1:$BX$1=""P_OUT_PS2""),'Data Scenarios 1-2'!$B$2:$B$105=$A5,'Data Scenarios 1-2'!$C$2:$C$105=""All"",'Data Scenarios 1-2'!$D$2:$D$105=""Mean"")"),2.62118775030771E-016)</f>
        <v>2.62118775030771E-016</v>
      </c>
      <c r="AG5" s="42" t="n">
        <v>0</v>
      </c>
      <c r="AH5" s="38" t="n">
        <f aca="false">IFERROR(__xludf.dummyfunction("FILTER(FILTER('Data Scenarios 1-2'!$A$2:$BX$105,'Data Scenarios 1-2'!$A$1:$BX$1=""V_OUT_PS3""),'Data Scenarios 1-2'!$B$2:$B$105=$A5,'Data Scenarios 1-2'!$C$2:$C$105=""All"",'Data Scenarios 1-2'!$D$2:$D$105=""Mean"")"),48.1979748027777)</f>
        <v>48.1979748027777</v>
      </c>
      <c r="AI5" s="40"/>
      <c r="AJ5" s="41" t="n">
        <f aca="false">IFERROR(__xludf.dummyfunction("FILTER(FILTER('Data Scenarios 1-2'!$A$2:$BX$105,'Data Scenarios 1-2'!$A$1:$BX$1=""P_OUT_PS3""),'Data Scenarios 1-2'!$B$2:$B$105=$A5,'Data Scenarios 1-2'!$C$2:$C$105=""All"",'Data Scenarios 1-2'!$D$2:$D$105=""Mean"")"),2.58116086168426E-016)</f>
        <v>2.58116086168426E-016</v>
      </c>
      <c r="AK5" s="43" t="n">
        <v>0</v>
      </c>
      <c r="AL5" s="44" t="n">
        <f aca="false">IFERROR(__xludf.dummyfunction("FILTER(FILTER('Data Scenarios 1-2'!$A$2:$BX$105,'Data Scenarios 1-2'!$A$1:$BX$1=""P_In""),'Data Scenarios 1-2'!$B$2:$B$105=$A5,'Data Scenarios 1-2'!$C$2:$C$105=""All"",'Data Scenarios 1-2'!$D$2:$D$105=""Mean"")"),460.716396944444)</f>
        <v>460.716396944444</v>
      </c>
      <c r="AM5" s="44" t="n">
        <f aca="false">IFERROR(__xludf.dummyfunction("FILTER(FILTER('Data Scenarios 1-2'!$A$2:$BX$105,'Data Scenarios 1-2'!$A$1:$BX$1=""P_Secondary""),'Data Scenarios 1-2'!$B$2:$B$105=$A5,'Data Scenarios 1-2'!$C$2:$C$105=""All"",'Data Scenarios 1-2'!$D$2:$D$105=""Mean"")"),403.43188)</f>
        <v>403.43188</v>
      </c>
      <c r="AN5" s="45" t="n">
        <f aca="false">IFERROR(__xludf.dummyfunction("FILTER(FILTER('Data Scenarios 1-2'!$A$2:$BX$105,'Data Scenarios 1-2'!$A$1:$BX$1=""P_Out""),'Data Scenarios 1-2'!$B$2:$B$105=$A5,'Data Scenarios 1-2'!$C$2:$C$105=""All"",'Data Scenarios 1-2'!$D$2:$D$105=""Mean"")"),299.210860799579)</f>
        <v>299.210860799579</v>
      </c>
      <c r="AO5" s="46" t="n">
        <f aca="false">E5+I5+M5+Q5+U5+Y5+AC5+AG5+AK5</f>
        <v>299.211198936802</v>
      </c>
      <c r="AP5" s="45" t="n">
        <f aca="false">IFERROR(__xludf.dummyfunction("FILTER(FILTER('Data Scenarios 1-2'!$A$2:$BX$105,'Data Scenarios 1-2'!$A$1:$BX$1=""P_TransformerLoss""),'Data Scenarios 1-2'!$B$2:$B$105=$A5,'Data Scenarios 1-2'!$C$2:$C$105=""All"",'Data Scenarios 1-2'!$D$2:$D$105=""Mean"")"),57.2845169444444)</f>
        <v>57.2845169444444</v>
      </c>
      <c r="AQ5" s="41" t="n">
        <f aca="false">IFERROR(__xludf.dummyfunction("FILTER(FILTER('Data Scenarios 1-2'!$A$2:$BX$105,'Data Scenarios 1-2'!$A$1:$BX$1=""P_ConverterLoss""),'Data Scenarios 1-2'!$B$2:$B$105=$A5,'Data Scenarios 1-2'!$C$2:$C$105=""All"",'Data Scenarios 1-2'!$D$2:$D$105=""Mean"")"),104.22101920042)</f>
        <v>104.22101920042</v>
      </c>
      <c r="AR5" s="46" t="n">
        <f aca="false">AM5-AO5</f>
        <v>104.220681063198</v>
      </c>
      <c r="AS5" s="41" t="n">
        <f aca="false">IFERROR(__xludf.dummyfunction("FILTER(FILTER('Data Scenarios 1-2'!$A$2:$BX$105,'Data Scenarios 1-2'!$A$1:$BX$1=""P_SystemLoss""),'Data Scenarios 1-2'!$B$2:$B$105=$A5,'Data Scenarios 1-2'!$C$2:$C$105=""All"",'Data Scenarios 1-2'!$D$2:$D$105=""Mean"")"),161.505536144865)</f>
        <v>161.505536144865</v>
      </c>
      <c r="AT5" s="46" t="n">
        <f aca="false">AL5-AO5</f>
        <v>161.505198007642</v>
      </c>
      <c r="AU5" s="47" t="n">
        <f aca="false">IFERROR(__xludf.dummyfunction("FILTER(FILTER('Data Scenarios 1-2'!$A$2:$BX$105,'Data Scenarios 1-2'!$A$1:$BX$1=""V_LAPTOP_3_OUTPUT""),'Data Scenarios 1-2'!$B$2:$B$105=$A5,'Data Scenarios 1-2'!$C$2:$C$105=""All"",'Data Scenarios 1-2'!$D$2:$D$105=""Standard Deviation"")"),0.00681156029189403)</f>
        <v>0.00681156029189403</v>
      </c>
      <c r="AV5" s="50" t="n">
        <f aca="false">IFERROR(__xludf.dummyfunction("FILTER(FILTER('Data Scenarios 1-2'!$A$2:$BX$105,'Data Scenarios 1-2'!$A$1:$BX$1=""I_LAPTOP_3_OUTPUT""),'Data Scenarios 1-2'!$B$2:$B$105=$A5,'Data Scenarios 1-2'!$C$2:$C$105=""All"",'Data Scenarios 1-2'!$D$2:$D$105=""Standard Deviation"")"),0.00310360231458332)</f>
        <v>0.00310360231458332</v>
      </c>
      <c r="AW5" s="70" t="n">
        <f aca="false">IFERROR(__xludf.dummyfunction("FILTER(FILTER('Data Scenarios 1-2'!$A$2:$BX$105,'Data Scenarios 1-2'!$A$1:$BX$1=""V_LAPTOP_3_OUTPUT * I_LAPTOP_3_OUTPUT""),'Data Scenarios 1-2'!$B$2:$B$105=$A5,'Data Scenarios 1-2'!$C$2:$C$105=""All"",'Data Scenarios 1-2'!$D$2:$D$105=""Covariance"")"),0.0000210317331705007)</f>
        <v>2.10317331705007E-005</v>
      </c>
      <c r="AX5" s="38" t="n">
        <f aca="false">IFERROR(__xludf.dummyfunction("FILTER(FILTER('Data Scenarios 1-2'!$A$2:$BX$105,'Data Scenarios 1-2'!$A$1:$BX$1=""P_LAPTOP_3_OUTPUT""),'Data Scenarios 1-2'!$B$2:$B$105=$A5,'Data Scenarios 1-2'!$C$2:$C$105=""All"",'Data Scenarios 1-2'!$D$2:$D$105=""Standard Deviation"")"),0.083712889380407)</f>
        <v>0.083712889380407</v>
      </c>
      <c r="AY5" s="71" t="n">
        <f aca="false">ABS(E5)*SQRT((AU5/B5)^2+(AV5/C5)^2+2*AW5/(B5*C5))</f>
        <v>0.0837056233203175</v>
      </c>
      <c r="AZ5" s="47" t="n">
        <f aca="false">IFERROR(__xludf.dummyfunction("FILTER(FILTER('Data Scenarios 1-2'!$A$2:$BX$105,'Data Scenarios 1-2'!$A$1:$BX$1=""V_LAPTOP_4_OUTPUT""),'Data Scenarios 1-2'!$B$2:$B$105=$A5,'Data Scenarios 1-2'!$C$2:$C$105=""All"",'Data Scenarios 1-2'!$D$2:$D$105=""Standard Deviation"")"),0.00185845555334851)</f>
        <v>0.00185845555334851</v>
      </c>
      <c r="BA5" s="50" t="n">
        <f aca="false">IFERROR(__xludf.dummyfunction("FILTER(FILTER('Data Scenarios 1-2'!$A$2:$BX$105,'Data Scenarios 1-2'!$A$1:$BX$1=""I_LAPTOP_4_OUTPUT""),'Data Scenarios 1-2'!$B$2:$B$105=$A5,'Data Scenarios 1-2'!$C$2:$C$105=""All"",'Data Scenarios 1-2'!$D$2:$D$105=""Standard Deviation"")"),0.00304885791958987)</f>
        <v>0.00304885791958987</v>
      </c>
      <c r="BB5" s="72" t="n">
        <f aca="false">IFERROR(__xludf.dummyfunction("FILTER(FILTER('Data Scenarios 1-2'!$A$2:$BX$105,'Data Scenarios 1-2'!$A$1:$BX$1=""V_LAPTOP_4_OUTPUT * I_LAPTOP_4_OUTPUT""),'Data Scenarios 1-2'!$B$2:$B$105=$A5,'Data Scenarios 1-2'!$C$2:$C$105=""All"",'Data Scenarios 1-2'!$D$2:$D$105=""Covariance"")"),-0.00000553903115409621)</f>
        <v>-5.53903115409621E-006</v>
      </c>
      <c r="BC5" s="38" t="n">
        <f aca="false">IFERROR(__xludf.dummyfunction("FILTER(FILTER('Data Scenarios 1-2'!$A$2:$BX$105,'Data Scenarios 1-2'!$A$1:$BX$1=""P_LAPTOP_4_OUTPUT""),'Data Scenarios 1-2'!$B$2:$B$105=$A5,'Data Scenarios 1-2'!$C$2:$C$105=""All"",'Data Scenarios 1-2'!$D$2:$D$105=""Standard Deviation"")"),0.0484082654149713)</f>
        <v>0.0484082654149713</v>
      </c>
      <c r="BD5" s="71" t="n">
        <f aca="false">ABS(I5)*SQRT((AZ5/F5)^2+(BA5/G5)^2+2*BB5/(F5*G5))</f>
        <v>0.0484001436633847</v>
      </c>
      <c r="BE5" s="47" t="n">
        <f aca="false">IFERROR(__xludf.dummyfunction("FILTER(FILTER('Data Scenarios 1-2'!$A$2:$BX$105,'Data Scenarios 1-2'!$A$1:$BX$1=""V_LAPTOP_5_OUTPUT""),'Data Scenarios 1-2'!$B$2:$B$105=$A5,'Data Scenarios 1-2'!$C$2:$C$105=""All"",'Data Scenarios 1-2'!$D$2:$D$105=""Standard Deviation"")"),0.00124267565353421)</f>
        <v>0.00124267565353421</v>
      </c>
      <c r="BF5" s="50" t="n">
        <f aca="false">IFERROR(__xludf.dummyfunction("FILTER(FILTER('Data Scenarios 1-2'!$A$2:$BX$105,'Data Scenarios 1-2'!$A$1:$BX$1=""I_LAPTOP_5_OUTPUT""),'Data Scenarios 1-2'!$B$2:$B$105=$A5,'Data Scenarios 1-2'!$C$2:$C$105=""All"",'Data Scenarios 1-2'!$D$2:$D$105=""Standard Deviation"")"),0.0179334469396603)</f>
        <v>0.0179334469396603</v>
      </c>
      <c r="BG5" s="72" t="n">
        <f aca="false">IFERROR(__xludf.dummyfunction("FILTER(FILTER('Data Scenarios 1-2'!$A$2:$BX$105,'Data Scenarios 1-2'!$A$1:$BX$1=""V_LAPTOP_5_OUTPUT * I_LAPTOP_5_OUTPUT""),'Data Scenarios 1-2'!$B$2:$B$105=$A5,'Data Scenarios 1-2'!$C$2:$C$105=""All"",'Data Scenarios 1-2'!$D$2:$D$105=""Covariance"")"),-0.0000110348925368124)</f>
        <v>-1.10348925368124E-005</v>
      </c>
      <c r="BH5" s="38" t="n">
        <f aca="false">IFERROR(__xludf.dummyfunction("FILTER(FILTER('Data Scenarios 1-2'!$A$2:$BX$105,'Data Scenarios 1-2'!$A$1:$BX$1=""P_LAPTOP_5_OUTPUT""),'Data Scenarios 1-2'!$B$2:$B$105=$A5,'Data Scenarios 1-2'!$C$2:$C$105=""All"",'Data Scenarios 1-2'!$D$2:$D$105=""Standard Deviation"")"),0.324876177819807)</f>
        <v>0.324876177819807</v>
      </c>
      <c r="BI5" s="71" t="n">
        <f aca="false">ABS(M5)*SQRT((BE5/J5)^2+(BF5/K5)^2+2*BG5/(J5*K5))</f>
        <v>0.324860382594787</v>
      </c>
      <c r="BJ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K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L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M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N5" s="73" t="n">
        <f aca="false">ABS(Q5)*SQRT((BJ5/N5)^2+(BK5/O5)^2+2*BL5/(N5*O5))</f>
        <v>0.478130016924926</v>
      </c>
      <c r="BO5" s="47" t="n">
        <f aca="false">IFERROR(__xludf.dummyfunction("FILTER(FILTER('Data Scenarios 1-2'!$A$2:$BX$105,'Data Scenarios 1-2'!$A$1:$BX$1=""V_LED_2""),'Data Scenarios 1-2'!$B$2:$B$105=$A5,'Data Scenarios 1-2'!$C$2:$C$105=""All"",'Data Scenarios 1-2'!$D$2:$D$105=""Standard Deviation"")"),0.00875224905275975)</f>
        <v>0.00875224905275975</v>
      </c>
      <c r="BP5" s="38" t="n">
        <f aca="false">IFERROR(__xludf.dummyfunction("FILTER(FILTER('Data Scenarios 1-2'!$A$2:$BX$105,'Data Scenarios 1-2'!$A$1:$BX$1=""I_LED_2""),'Data Scenarios 1-2'!$B$2:$B$105=$A5,'Data Scenarios 1-2'!$C$2:$C$105=""All"",'Data Scenarios 1-2'!$D$2:$D$105=""Standard Deviation"")"),0.0190010139217576)</f>
        <v>0.0190010139217576</v>
      </c>
      <c r="BQ5" s="48" t="n">
        <f aca="false">IFERROR(__xludf.dummyfunction("FILTER(FILTER('Data Scenarios 1-2'!$A$2:$BX$105,'Data Scenarios 1-2'!$A$1:$BX$1=""V_LED_2 * I_LED_2""),'Data Scenarios 1-2'!$B$2:$B$105=$A5,'Data Scenarios 1-2'!$C$2:$C$105=""All"",'Data Scenarios 1-2'!$D$2:$D$105=""Covariance"")"),-0.000164568223622615)</f>
        <v>-0.000164568223622615</v>
      </c>
      <c r="BR5" s="65" t="n">
        <f aca="false">IFERROR(__xludf.dummyfunction("FILTER(FILTER('Data Scenarios 1-2'!$A$2:$BX$105,'Data Scenarios 1-2'!$A$1:$BX$1=""P_LED_2""),'Data Scenarios 1-2'!$B$2:$B$105=$A5,'Data Scenarios 1-2'!$C$2:$C$105=""All"",'Data Scenarios 1-2'!$D$2:$D$105=""Standard Deviation"")"),0.447053002877207)</f>
        <v>0.447053002877207</v>
      </c>
      <c r="BS5" s="73" t="n">
        <f aca="false">ABS(U5)*SQRT((BO5/R5)^2+(BP5/S5)^2+2*BQ5/(R5*S5))</f>
        <v>0.447007215451818</v>
      </c>
      <c r="BT5" s="47" t="n">
        <f aca="false">IFERROR(__xludf.dummyfunction("FILTER(FILTER('Data Scenarios 1-2'!$A$2:$BX$105,'Data Scenarios 1-2'!$A$1:$BX$1=""V_LED_1""),'Data Scenarios 1-2'!$B$2:$B$105=$A5,'Data Scenarios 1-2'!$C$2:$C$105=""All"",'Data Scenarios 1-2'!$D$2:$D$105=""Standard Deviation"")"),0.00787791779730703)</f>
        <v>0.00787791779730703</v>
      </c>
      <c r="BU5" s="38" t="n">
        <f aca="false">IFERROR(__xludf.dummyfunction("FILTER(FILTER('Data Scenarios 1-2'!$A$2:$BX$105,'Data Scenarios 1-2'!$A$1:$BX$1=""I_LED_1""),'Data Scenarios 1-2'!$B$2:$B$105=$A5,'Data Scenarios 1-2'!$C$2:$C$105=""All"",'Data Scenarios 1-2'!$D$2:$D$105=""Standard Deviation"")"),0.0201747461421365)</f>
        <v>0.0201747461421365</v>
      </c>
      <c r="BV5" s="48" t="n">
        <f aca="false">IFERROR(__xludf.dummyfunction("FILTER(FILTER('Data Scenarios 1-2'!$A$2:$BX$105,'Data Scenarios 1-2'!$A$1:$BX$1=""V_LED_1 * I_LED_1""),'Data Scenarios 1-2'!$B$2:$B$105=$A5,'Data Scenarios 1-2'!$C$2:$C$105=""All"",'Data Scenarios 1-2'!$D$2:$D$105=""Covariance"")"),-0.000157082650238035)</f>
        <v>-0.000157082650238035</v>
      </c>
      <c r="BW5" s="65" t="n">
        <f aca="false">IFERROR(__xludf.dummyfunction("FILTER(FILTER('Data Scenarios 1-2'!$A$2:$BX$105,'Data Scenarios 1-2'!$A$1:$BX$1=""P_LED_1""),'Data Scenarios 1-2'!$B$2:$B$105=$A5,'Data Scenarios 1-2'!$C$2:$C$105=""All"",'Data Scenarios 1-2'!$D$2:$D$105=""Standard Deviation"")"),0.478176457501048)</f>
        <v>0.478176457501048</v>
      </c>
      <c r="BX5" s="73" t="n">
        <f aca="false">ABS(Y5)*SQRT((BT5/V5)^2+(BU5/W5)^2+2*BV5/(V5*W5))</f>
        <v>0.477178331050114</v>
      </c>
      <c r="BY5" s="54" t="n">
        <f aca="false">IFERROR(__xludf.dummyfunction("FILTER(FILTER('Data Scenarios 1-2'!$A$2:$BX$105,'Data Scenarios 1-2'!$A$1:$BX$1=""V_OUT_PS1""),'Data Scenarios 1-2'!$B$2:$B$105=$A5,'Data Scenarios 1-2'!$C$2:$C$105=""All"",'Data Scenarios 1-2'!$D$2:$D$105=""Standard Deviation"")"),0.000814557421683743)</f>
        <v>0.000814557421683743</v>
      </c>
      <c r="BZ5" s="55" t="n">
        <v>0</v>
      </c>
      <c r="CA5" s="38" t="n">
        <f aca="false">IFERROR(__xludf.dummyfunction("FILTER(FILTER('Data Scenarios 1-2'!$A$2:$BX$105,'Data Scenarios 1-2'!$A$1:$BX$1=""P_OUT_PS1""),'Data Scenarios 1-2'!$B$2:$B$105=$A5,'Data Scenarios 1-2'!$C$2:$C$105=""All"",'Data Scenarios 1-2'!$D$2:$D$105=""Standard Deviation"")"),8.72367181076597E-021)</f>
        <v>8.72367181076597E-021</v>
      </c>
      <c r="CB5" s="56" t="n">
        <v>0</v>
      </c>
      <c r="CC5" s="54" t="n">
        <f aca="false">IFERROR(__xludf.dummyfunction("FILTER(FILTER('Data Scenarios 1-2'!$A$2:$BX$105,'Data Scenarios 1-2'!$A$1:$BX$1=""V_OUT_PS2""),'Data Scenarios 1-2'!$B$2:$B$105=$A5,'Data Scenarios 1-2'!$C$2:$C$105=""All"",'Data Scenarios 1-2'!$D$2:$D$105=""Standard Deviation"")"),0.00946449934257259)</f>
        <v>0.00946449934257259</v>
      </c>
      <c r="CD5" s="55" t="n">
        <v>0</v>
      </c>
      <c r="CE5" s="38" t="n">
        <f aca="false">IFERROR(__xludf.dummyfunction("FILTER(FILTER('Data Scenarios 1-2'!$A$2:$BX$105,'Data Scenarios 1-2'!$A$1:$BX$1=""P_OUT_PS2""),'Data Scenarios 1-2'!$B$2:$B$105=$A5,'Data Scenarios 1-2'!$C$2:$C$105=""All"",'Data Scenarios 1-2'!$D$2:$D$105=""Standard Deviation"")"),1.02157401458311E-019)</f>
        <v>1.02157401458311E-019</v>
      </c>
      <c r="CF5" s="56" t="n">
        <v>0</v>
      </c>
      <c r="CG5" s="54" t="n">
        <f aca="false">IFERROR(__xludf.dummyfunction("FILTER(FILTER('Data Scenarios 1-2'!$A$2:$BX$105,'Data Scenarios 1-2'!$A$1:$BX$1=""V_OUT_PS3""),'Data Scenarios 1-2'!$B$2:$B$105=$A5,'Data Scenarios 1-2'!$C$2:$C$105=""All"",'Data Scenarios 1-2'!$D$2:$D$105=""Standard Deviation"")"),0.000704969465126189)</f>
        <v>0.000704969465126189</v>
      </c>
      <c r="CH5" s="55" t="n">
        <v>0</v>
      </c>
      <c r="CI5" s="38" t="n">
        <f aca="false">IFERROR(__xludf.dummyfunction("FILTER(FILTER('Data Scenarios 1-2'!$A$2:$BX$105,'Data Scenarios 1-2'!$A$1:$BX$1=""P_OUT_PS3""),'Data Scenarios 1-2'!$B$2:$B$105=$A5,'Data Scenarios 1-2'!$C$2:$C$105=""All"",'Data Scenarios 1-2'!$D$2:$D$105=""Standard Deviation"")"),7.55071745254284E-021)</f>
        <v>7.55071745254284E-021</v>
      </c>
      <c r="CJ5" s="56" t="n">
        <v>0</v>
      </c>
      <c r="CK5" s="57" t="n">
        <f aca="false">IFERROR(__xludf.dummyfunction("FILTER(FILTER('Data Scenarios 1-2'!$A$2:$BX$105,'Data Scenarios 1-2'!$A$1:$BX$1=""P_In""),'Data Scenarios 1-2'!$B$2:$B$105=$A5,'Data Scenarios 1-2'!$C$2:$C$105=""All"",'Data Scenarios 1-2'!$D$2:$D$105=""Standard Deviation"")"),0.864299785504512)</f>
        <v>0.864299785504512</v>
      </c>
      <c r="CL5" s="57" t="n">
        <f aca="false">IFERROR(__xludf.dummyfunction("FILTER(FILTER('Data Scenarios 1-2'!$A$2:$BX$105,'Data Scenarios 1-2'!$A$1:$BX$1=""P_Secondary""),'Data Scenarios 1-2'!$B$2:$B$105=$A5,'Data Scenarios 1-2'!$C$2:$C$105=""All"",'Data Scenarios 1-2'!$D$2:$D$105=""Standard Deviation"")"),0.85986696312692)</f>
        <v>0.85986696312692</v>
      </c>
      <c r="CM5" s="74" t="n">
        <f aca="false">IFERROR(__xludf.dummyfunction("FILTER(FILTER('Data Scenarios 1-2'!$A$2:$BX$105,'Data Scenarios 1-2'!$A$1:$BX$1=""P_Out""),'Data Scenarios 1-2'!$B$2:$B$105=$A5,'Data Scenarios 1-2'!$C$2:$C$105=""All"",'Data Scenarios 1-2'!$D$2:$D$105=""Standard Deviation"")"),0.981376374817891)</f>
        <v>0.981376374817891</v>
      </c>
      <c r="CN5" s="62" t="n">
        <f aca="false">SQRT(AX5^2+BC5^2+BH5^2+BM5^2+BR5^2+BW5^2+CB5^2+CF5^2+CJ5^2)</f>
        <v>0.878668068909836</v>
      </c>
      <c r="CO5" s="59" t="n">
        <f aca="false">IFERROR(__xludf.dummyfunction("FILTER(FILTER('Data Scenarios 1-2'!$A$2:$BX$105,'Data Scenarios 1-2'!$A$1:$BX$1=""P_TransformerLoss""),'Data Scenarios 1-2'!$B$2:$B$105=$A5,'Data Scenarios 1-2'!$C$2:$C$105=""All"",'Data Scenarios 1-2'!$D$2:$D$105=""Standard Deviation"")"),0.027825053712802)</f>
        <v>0.027825053712802</v>
      </c>
      <c r="CP5" s="65" t="n">
        <f aca="false">IFERROR(__xludf.dummyfunction("FILTER(FILTER('Data Scenarios 1-2'!$A$2:$BX$105,'Data Scenarios 1-2'!$A$1:$BX$1=""P_ConverterLoss""),'Data Scenarios 1-2'!$B$2:$B$105=$A5,'Data Scenarios 1-2'!$C$2:$C$105=""All"",'Data Scenarios 1-2'!$D$2:$D$105=""Standard Deviation"")"),0.127837081246481)</f>
        <v>0.127837081246481</v>
      </c>
      <c r="CQ5" s="75" t="n">
        <f aca="false">SQRT(CL5^2+MAX(CM5:CN5)^2)</f>
        <v>1.30478763916885</v>
      </c>
      <c r="CR5" s="65" t="n">
        <f aca="false">IFERROR(__xludf.dummyfunction("FILTER(FILTER('Data Scenarios 1-2'!$A$2:$BX$105,'Data Scenarios 1-2'!$A$1:$BX$1=""P_SystemLoss""),'Data Scenarios 1-2'!$B$2:$B$105=$A5,'Data Scenarios 1-2'!$C$2:$C$105=""All"",'Data Scenarios 1-2'!$D$2:$D$105=""Standard Deviation"")"),0.117544608665045)</f>
        <v>0.117544608665045</v>
      </c>
      <c r="CS5" s="75" t="n">
        <f aca="false">SQRT(CK5^2+MAX(CM5:CN5)^2)</f>
        <v>1.30771315978461</v>
      </c>
      <c r="CT5" s="63" t="n">
        <v>449.211078961754</v>
      </c>
      <c r="CU5" s="64" t="n">
        <v>394.806485236043</v>
      </c>
      <c r="CV5" s="64" t="n">
        <v>54.4045937257113</v>
      </c>
      <c r="CW5" s="64" t="n">
        <v>95.4285272360425</v>
      </c>
      <c r="CX5" s="64" t="n">
        <v>149.833120961754</v>
      </c>
      <c r="CY5" s="45" t="n">
        <f aca="false">CT5-AL5</f>
        <v>-11.50531798269</v>
      </c>
      <c r="CZ5" s="41" t="n">
        <f aca="false">TINV(0.1,2)*CK5/SQRT(3)</f>
        <v>1.45708364890193</v>
      </c>
      <c r="DA5" s="66" t="n">
        <f aca="false">CY5/AL5</f>
        <v>-0.0249726687806107</v>
      </c>
      <c r="DB5" s="67" t="n">
        <f aca="false">CZ5/AL5</f>
        <v>0.00316264769078239</v>
      </c>
      <c r="DC5" s="45" t="n">
        <f aca="false">CU5-AM5</f>
        <v>-8.62539476395699</v>
      </c>
      <c r="DD5" s="65" t="n">
        <f aca="false">TINV(0.1,2)*CL5/SQRT(3)</f>
        <v>1.44961055552252</v>
      </c>
      <c r="DE5" s="66" t="n">
        <f aca="false">DC5/AM5</f>
        <v>-0.021380052473684</v>
      </c>
      <c r="DF5" s="67" t="n">
        <f aca="false">DD5/AM5</f>
        <v>0.0035931978293895</v>
      </c>
      <c r="DG5" s="45" t="n">
        <f aca="false">CV5-AP5</f>
        <v>-2.8799232187331</v>
      </c>
      <c r="DH5" s="65" t="n">
        <f aca="false">TINV(0.1,2)*CO5/SQRT(3)</f>
        <v>0.046908990925036</v>
      </c>
      <c r="DI5" s="66" t="n">
        <f aca="false">DG5/AP5</f>
        <v>-0.0502740246815051</v>
      </c>
      <c r="DJ5" s="67" t="n">
        <f aca="false">DH5/AP5</f>
        <v>0.000818877306245407</v>
      </c>
      <c r="DK5" s="45" t="n">
        <f aca="false">CW5-AR5</f>
        <v>-8.79215382715523</v>
      </c>
      <c r="DL5" s="65" t="n">
        <f aca="false">TINV(0.1,2)*CP5/SQRT(3)</f>
        <v>0.215514713681047</v>
      </c>
      <c r="DM5" s="66" t="n">
        <f aca="false">DK5/AR5</f>
        <v>-0.0843609323741016</v>
      </c>
      <c r="DN5" s="67" t="n">
        <f aca="false">DL5/AR5</f>
        <v>0.0020678689822643</v>
      </c>
      <c r="DO5" s="45" t="n">
        <f aca="false">CX5-AT5</f>
        <v>-11.6720770458878</v>
      </c>
      <c r="DP5" s="65" t="n">
        <f aca="false">TINV(0.1,2)*CR5/SQRT(3)</f>
        <v>0.198163102866487</v>
      </c>
      <c r="DQ5" s="66" t="n">
        <f aca="false">DO5/AT5</f>
        <v>-0.0722705967973581</v>
      </c>
      <c r="DR5" s="66" t="n">
        <f aca="false">DP5/AT5</f>
        <v>0.00122697662558892</v>
      </c>
    </row>
    <row r="6" customFormat="false" ht="12.75" hidden="false" customHeight="false" outlineLevel="0" collapsed="false">
      <c r="A6" s="37" t="n">
        <v>1.3</v>
      </c>
      <c r="B6" s="38" t="n">
        <f aca="false">IFERROR(__xludf.dummyfunction("FILTER(FILTER('Data Scenarios 1-2'!$A$2:$BX$105,'Data Scenarios 1-2'!$A$1:$BX$1=""V_LAPTOP_3_OUTPUT""),'Data Scenarios 1-2'!$B$2:$B$105=$A6,'Data Scenarios 1-2'!$C$2:$C$105=""All"",'Data Scenarios 1-2'!$D$2:$D$105=""Mean"")"),18.2919623527777)</f>
        <v>18.2919623527777</v>
      </c>
      <c r="C6" s="65" t="n">
        <f aca="false">IFERROR(__xludf.dummyfunction("FILTER(FILTER('Data Scenarios 1-2'!$A$2:$BX$105,'Data Scenarios 1-2'!$A$1:$BX$1=""I_LAPTOP_3_OUTPUT""),'Data Scenarios 1-2'!$B$2:$B$105=$A6,'Data Scenarios 1-2'!$C$2:$C$105=""All"",'Data Scenarios 1-2'!$D$2:$D$105=""Mean"")"),3.97341035720423)</f>
        <v>3.97341035720423</v>
      </c>
      <c r="D6" s="65" t="n">
        <f aca="false">IFERROR(__xludf.dummyfunction("FILTER(FILTER('Data Scenarios 1-2'!$A$2:$BX$105,'Data Scenarios 1-2'!$A$1:$BX$1=""P_LAPTOP_3_OUTPUT""),'Data Scenarios 1-2'!$B$2:$B$105=$A6,'Data Scenarios 1-2'!$C$2:$C$105=""All"",'Data Scenarios 1-2'!$D$2:$D$105=""Mean"")"),72.6814733221907)</f>
        <v>72.6814733221907</v>
      </c>
      <c r="E6" s="68" t="n">
        <f aca="false">B6*C6</f>
        <v>72.6814726661168</v>
      </c>
      <c r="F6" s="38" t="n">
        <f aca="false">IFERROR(__xludf.dummyfunction("FILTER(FILTER('Data Scenarios 1-2'!$A$2:$BX$105,'Data Scenarios 1-2'!$A$1:$BX$1=""V_LAPTOP_4_OUTPUT""),'Data Scenarios 1-2'!$B$2:$B$105=$A6,'Data Scenarios 1-2'!$C$2:$C$105=""All"",'Data Scenarios 1-2'!$D$2:$D$105=""Mean"")"),18.2060793555555)</f>
        <v>18.2060793555555</v>
      </c>
      <c r="G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1-2'!$D$2:$D$105=""Mean"")"),3.87538597469633)</f>
        <v>3.87538597469633</v>
      </c>
      <c r="H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1-2'!$D$2:$D$105=""Mean"")"),70.5555756312434)</f>
        <v>70.5555756312434</v>
      </c>
      <c r="I6" s="68" t="n">
        <f aca="false">F6*G6</f>
        <v>70.5555845887282</v>
      </c>
      <c r="J6" s="38" t="n">
        <f aca="false">IFERROR(__xludf.dummyfunction("FILTER(FILTER('Data Scenarios 1-2'!$A$2:$BX$105,'Data Scenarios 1-2'!$A$1:$BX$1=""V_LAPTOP_5_OUTPUT""),'Data Scenarios 1-2'!$B$2:$B$105=$A6,'Data Scenarios 1-2'!$C$2:$C$105=""All"",'Data Scenarios 1-2'!$D$2:$D$105=""Mean"")"),18.2551638444444)</f>
        <v>18.2551638444444</v>
      </c>
      <c r="K6" s="3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1-2'!$D$2:$D$105=""Mean"")"),3.91001584760174)</f>
        <v>3.91001584760174</v>
      </c>
      <c r="L6" s="65" t="n">
        <f aca="false">IFERROR(__xludf.dummyfunction("FILTER(FILTER('Data Scenarios 1-2'!$A$2:$BX$105,'Data Scenarios 1-2'!$A$1:$BX$1=""P_LAPTOP_5_OUTPUT""),'Data Scenarios 1-2'!$B$2:$B$105=$A6,'Data Scenarios 1-2'!$C$2:$C$105=""All"",'Data Scenarios 1-2'!$D$2:$D$105=""Mean"")"),71.3780099843541)</f>
        <v>71.3780099843541</v>
      </c>
      <c r="M6" s="68" t="n">
        <f aca="false">J6*K6</f>
        <v>71.3779799323439</v>
      </c>
      <c r="N6" s="38" t="n">
        <f aca="false">IFERROR(__xludf.dummyfunction("FILTER(FILTER('Data Scenarios 1-2'!$A$2:$BX$105,'Data Scenarios 1-2'!$A$1:$BX$1=""V_LED_1""),'Data Scenarios 1-2'!$B$2:$B$105=$A6,'Data Scenarios 1-2'!$C$2:$C$105=""All"",'Data Scenarios 1-2'!$D$2:$D$105=""Mean"")"),24.1544739)</f>
        <v>24.1544739</v>
      </c>
      <c r="O6" s="38" t="n">
        <f aca="false">IFERROR(__xludf.dummyfunction("FILTER(FILTER('Data Scenarios 1-2'!$A$2:$BX$105,'Data Scenarios 1-2'!$A$1:$BX$1=""I_LED_1""),'Data Scenarios 1-2'!$B$2:$B$105=$A6,'Data Scenarios 1-2'!$C$2:$C$105=""All"",'Data Scenarios 1-2'!$D$2:$D$105=""Mean"")"),1.15796896382257)</f>
        <v>1.15796896382257</v>
      </c>
      <c r="P6" s="65" t="n">
        <f aca="false">IFERROR(__xludf.dummyfunction("FILTER(FILTER('Data Scenarios 1-2'!$A$2:$BX$105,'Data Scenarios 1-2'!$A$1:$BX$1=""P_LED_1""),'Data Scenarios 1-2'!$B$2:$B$105=$A6,'Data Scenarios 1-2'!$C$2:$C$105=""All"",'Data Scenarios 1-2'!$D$2:$D$105=""Mean"")"),27.9701244877774)</f>
        <v>27.9701244877774</v>
      </c>
      <c r="Q6" s="69" t="n">
        <f aca="false">N6*O6</f>
        <v>27.9701311136623</v>
      </c>
      <c r="R6" s="38" t="n">
        <f aca="false">IFERROR(__xludf.dummyfunction("FILTER(FILTER('Data Scenarios 1-2'!$A$2:$BX$105,'Data Scenarios 1-2'!$A$1:$BX$1=""V_LED_2""),'Data Scenarios 1-2'!$B$2:$B$105=$A6,'Data Scenarios 1-2'!$C$2:$C$105=""All"",'Data Scenarios 1-2'!$D$2:$D$105=""Mean"")"),24.0761977222222)</f>
        <v>24.0761977222222</v>
      </c>
      <c r="S6" s="38" t="n">
        <f aca="false">IFERROR(__xludf.dummyfunction("FILTER(FILTER('Data Scenarios 1-2'!$A$2:$BX$105,'Data Scenarios 1-2'!$A$1:$BX$1=""I_LED_2""),'Data Scenarios 1-2'!$B$2:$B$105=$A6,'Data Scenarios 1-2'!$C$2:$C$105=""All"",'Data Scenarios 1-2'!$D$2:$D$105=""Mean"")"),1.17519493852526)</f>
        <v>1.17519493852526</v>
      </c>
      <c r="T6" s="65" t="n">
        <f aca="false">IFERROR(__xludf.dummyfunction("FILTER(FILTER('Data Scenarios 1-2'!$A$2:$BX$105,'Data Scenarios 1-2'!$A$1:$BX$1=""P_LED_2""),'Data Scenarios 1-2'!$B$2:$B$105=$A6,'Data Scenarios 1-2'!$C$2:$C$105=""All"",'Data Scenarios 1-2'!$D$2:$D$105=""Mean"")"),28.294215768816)</f>
        <v>28.294215768816</v>
      </c>
      <c r="U6" s="69" t="n">
        <f aca="false">R6*S6</f>
        <v>28.2942257020889</v>
      </c>
      <c r="V6" s="38" t="n">
        <f aca="false">IFERROR(__xludf.dummyfunction("FILTER(FILTER('Data Scenarios 1-2'!$A$2:$BX$105,'Data Scenarios 1-2'!$A$1:$BX$1=""V_LED_3""),'Data Scenarios 1-2'!$B$2:$B$105=$A6,'Data Scenarios 1-2'!$C$2:$C$105=""All"",'Data Scenarios 1-2'!$D$2:$D$105=""Mean"")"),24.1021204861111)</f>
        <v>24.1021204861111</v>
      </c>
      <c r="W6" s="38" t="n">
        <f aca="false">IFERROR(__xludf.dummyfunction("FILTER(FILTER('Data Scenarios 1-2'!$A$2:$BX$105,'Data Scenarios 1-2'!$A$1:$BX$1=""I_LED_3""),'Data Scenarios 1-2'!$B$2:$B$105=$A6,'Data Scenarios 1-2'!$C$2:$C$105=""All"",'Data Scenarios 1-2'!$D$2:$D$105=""Mean"")"),1.1345450388679)</f>
        <v>1.1345450388679</v>
      </c>
      <c r="X6" s="65" t="n">
        <f aca="false">IFERROR(__xludf.dummyfunction("FILTER(FILTER('Data Scenarios 1-2'!$A$2:$BX$105,'Data Scenarios 1-2'!$A$1:$BX$1=""P_LED_3""),'Data Scenarios 1-2'!$B$2:$B$105=$A6,'Data Scenarios 1-2'!$C$2:$C$105=""All"",'Data Scenarios 1-2'!$D$2:$D$105=""Mean"")"),27.3449328729692)</f>
        <v>27.3449328729692</v>
      </c>
      <c r="Y6" s="69" t="n">
        <f aca="false">V6*W6</f>
        <v>27.3449412237137</v>
      </c>
      <c r="Z6" s="38" t="n">
        <f aca="false">IFERROR(__xludf.dummyfunction("FILTER(FILTER('Data Scenarios 1-2'!$A$2:$BX$105,'Data Scenarios 1-2'!$A$1:$BX$1=""V_OUT_PS1""),'Data Scenarios 1-2'!$B$2:$B$105=$A6,'Data Scenarios 1-2'!$C$2:$C$105=""All"",'Data Scenarios 1-2'!$D$2:$D$105=""Mean"")"),48.1909559277777)</f>
        <v>48.1909559277777</v>
      </c>
      <c r="AA6" s="76" t="n">
        <v>10.044</v>
      </c>
      <c r="AB6" s="41" t="n">
        <f aca="false">IFERROR(__xludf.dummyfunction("FILTER(FILTER('Data Scenarios 1-2'!$A$2:$BX$105,'Data Scenarios 1-2'!$A$1:$BX$1=""P_OUT_PS1""),'Data Scenarios 1-2'!$B$2:$B$105=$A6,'Data Scenarios 1-2'!$C$2:$C$105=""All"",'Data Scenarios 1-2'!$D$2:$D$105=""Mean"")"),231.311577020847)</f>
        <v>231.311577020847</v>
      </c>
      <c r="AC6" s="39" t="n">
        <f aca="false">Z6^2/AA6</f>
        <v>231.21945770938</v>
      </c>
      <c r="AD6" s="38" t="n">
        <f aca="false">IFERROR(__xludf.dummyfunction("FILTER(FILTER('Data Scenarios 1-2'!$A$2:$BX$105,'Data Scenarios 1-2'!$A$1:$BX$1=""V_OUT_PS2""),'Data Scenarios 1-2'!$B$2:$B$105=$A6,'Data Scenarios 1-2'!$C$2:$C$105=""All"",'Data Scenarios 1-2'!$D$2:$D$105=""Mean"")"),48.3679406027777)</f>
        <v>48.3679406027777</v>
      </c>
      <c r="AE6" s="76" t="n">
        <v>10.138</v>
      </c>
      <c r="AF6" s="41" t="n">
        <f aca="false">IFERROR(__xludf.dummyfunction("FILTER(FILTER('Data Scenarios 1-2'!$A$2:$BX$105,'Data Scenarios 1-2'!$A$1:$BX$1=""P_OUT_PS2""),'Data Scenarios 1-2'!$B$2:$B$105=$A6,'Data Scenarios 1-2'!$C$2:$C$105=""All"",'Data Scenarios 1-2'!$D$2:$D$105=""Mean"")"),230.715747513395)</f>
        <v>230.715747513395</v>
      </c>
      <c r="AG6" s="39" t="n">
        <f aca="false">AD6^2/AE6</f>
        <v>230.761262394341</v>
      </c>
      <c r="AH6" s="38" t="n">
        <f aca="false">IFERROR(__xludf.dummyfunction("FILTER(FILTER('Data Scenarios 1-2'!$A$2:$BX$105,'Data Scenarios 1-2'!$A$1:$BX$1=""V_OUT_PS3""),'Data Scenarios 1-2'!$B$2:$B$105=$A6,'Data Scenarios 1-2'!$C$2:$C$105=""All"",'Data Scenarios 1-2'!$D$2:$D$105=""Mean"")"),48.2072573694444)</f>
        <v>48.2072573694444</v>
      </c>
      <c r="AI6" s="40" t="n">
        <v>9.807</v>
      </c>
      <c r="AJ6" s="41" t="n">
        <f aca="false">IFERROR(__xludf.dummyfunction("FILTER(FILTER('Data Scenarios 1-2'!$A$2:$BX$105,'Data Scenarios 1-2'!$A$1:$BX$1=""P_OUT_PS3""),'Data Scenarios 1-2'!$B$2:$B$105=$A6,'Data Scenarios 1-2'!$C$2:$C$105=""All"",'Data Scenarios 1-2'!$D$2:$D$105=""Mean"")"),236.894970796729)</f>
        <v>236.894970796729</v>
      </c>
      <c r="AK6" s="77" t="n">
        <f aca="false">AH6^2/AI6</f>
        <v>236.967437859065</v>
      </c>
      <c r="AL6" s="44" t="n">
        <f aca="false">IFERROR(__xludf.dummyfunction("FILTER(FILTER('Data Scenarios 1-2'!$A$2:$BX$105,'Data Scenarios 1-2'!$A$1:$BX$1=""P_In""),'Data Scenarios 1-2'!$B$2:$B$105=$A6,'Data Scenarios 1-2'!$C$2:$C$105=""All"",'Data Scenarios 1-2'!$D$2:$D$105=""Mean"")"),1254.879875)</f>
        <v>1254.879875</v>
      </c>
      <c r="AM6" s="44" t="n">
        <f aca="false">IFERROR(__xludf.dummyfunction("FILTER(FILTER('Data Scenarios 1-2'!$A$2:$BX$105,'Data Scenarios 1-2'!$A$1:$BX$1=""P_Secondary""),'Data Scenarios 1-2'!$B$2:$B$105=$A6,'Data Scenarios 1-2'!$C$2:$C$105=""All"",'Data Scenarios 1-2'!$D$2:$D$105=""Mean"")"),1172.17522361111)</f>
        <v>1172.17522361111</v>
      </c>
      <c r="AN6" s="45" t="n">
        <f aca="false">IFERROR(__xludf.dummyfunction("FILTER(FILTER('Data Scenarios 1-2'!$A$2:$BX$105,'Data Scenarios 1-2'!$A$1:$BX$1=""P_Out""),'Data Scenarios 1-2'!$B$2:$B$105=$A6,'Data Scenarios 1-2'!$C$2:$C$105=""All"",'Data Scenarios 1-2'!$D$2:$D$105=""Mean"")"),997.146627398323)</f>
        <v>997.146627398323</v>
      </c>
      <c r="AO6" s="46" t="n">
        <f aca="false">E6+I6+M6+Q6+U6+Y6+AC6+AG6+AK6</f>
        <v>997.17249318944</v>
      </c>
      <c r="AP6" s="45" t="n">
        <f aca="false">IFERROR(__xludf.dummyfunction("FILTER(FILTER('Data Scenarios 1-2'!$A$2:$BX$105,'Data Scenarios 1-2'!$A$1:$BX$1=""P_TransformerLoss""),'Data Scenarios 1-2'!$B$2:$B$105=$A6,'Data Scenarios 1-2'!$C$2:$C$105=""All"",'Data Scenarios 1-2'!$D$2:$D$105=""Mean"")"),82.7046513888889)</f>
        <v>82.7046513888889</v>
      </c>
      <c r="AQ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1-2'!$D$2:$D$105=""Mean"")"),175.028596212788)</f>
        <v>175.028596212788</v>
      </c>
      <c r="AR6" s="46" t="n">
        <f aca="false">AM6-AO6</f>
        <v>175.00273042167</v>
      </c>
      <c r="AS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1-2'!$D$2:$D$105=""Mean"")"),257.733247601677)</f>
        <v>257.733247601677</v>
      </c>
      <c r="AT6" s="46" t="n">
        <f aca="false">AL6-AO6</f>
        <v>257.70738181056</v>
      </c>
      <c r="AU6" s="54" t="n">
        <f aca="false">IFERROR(__xludf.dummyfunction("FILTER(FILTER('Data Scenarios 1-2'!$A$2:$BX$105,'Data Scenarios 1-2'!$A$1:$BX$1=""V_LAPTOP_3_OUTPUT""),'Data Scenarios 1-2'!$B$2:$B$105=$A6,'Data Scenarios 1-2'!$C$2:$C$105=""All"",'Data Scenarios 1-2'!$D$2:$D$105=""Standard Deviation"")"),0.000881709638577036)</f>
        <v>0.000881709638577036</v>
      </c>
      <c r="AV6" s="48" t="n">
        <f aca="false">IFERROR(__xludf.dummyfunction("FILTER(FILTER('Data Scenarios 1-2'!$A$2:$BX$105,'Data Scenarios 1-2'!$A$1:$BX$1=""I_LAPTOP_3_OUTPUT""),'Data Scenarios 1-2'!$B$2:$B$105=$A6,'Data Scenarios 1-2'!$C$2:$C$105=""All"",'Data Scenarios 1-2'!$D$2:$D$105=""Standard Deviation"")"),0.000397149989780714)</f>
        <v>0.000397149989780714</v>
      </c>
      <c r="AW6" s="49" t="n">
        <f aca="false">IFERROR(__xludf.dummyfunction("FILTER(FILTER('Data Scenarios 1-2'!$A$2:$BX$105,'Data Scenarios 1-2'!$A$1:$BX$1=""V_LAPTOP_3_OUTPUT * I_LAPTOP_3_OUTPUT""),'Data Scenarios 1-2'!$B$2:$B$105=$A6,'Data Scenarios 1-2'!$C$2:$C$105=""All"",'Data Scenarios 1-2'!$D$2:$D$105=""Covariance"")"),-0.000000215829339893111)</f>
        <v>-2.15829339893111E-007</v>
      </c>
      <c r="AX6" s="50" t="n">
        <f aca="false">IFERROR(__xludf.dummyfunction("FILTER(FILTER('Data Scenarios 1-2'!$A$2:$BX$105,'Data Scenarios 1-2'!$A$1:$BX$1=""P_LAPTOP_3_OUTPUT""),'Data Scenarios 1-2'!$B$2:$B$105=$A6,'Data Scenarios 1-2'!$C$2:$C$105=""All"",'Data Scenarios 1-2'!$D$2:$D$105=""Standard Deviation"")"),0.00580270551876372)</f>
        <v>0.00580270551876372</v>
      </c>
      <c r="AY6" s="51" t="n">
        <f aca="false">ABS(E6)*SQRT((AU6/B6)^2+(AV6/C6)^2+2*AW6/(B6*C6))</f>
        <v>0.00580304753955561</v>
      </c>
      <c r="AZ6" s="47" t="n">
        <f aca="false">IFERROR(__xludf.dummyfunction("FILTER(FILTER('Data Scenarios 1-2'!$A$2:$BX$105,'Data Scenarios 1-2'!$A$1:$BX$1=""V_LAPTOP_4_OUTPUT""),'Data Scenarios 1-2'!$B$2:$B$105=$A6,'Data Scenarios 1-2'!$C$2:$C$105=""All"",'Data Scenarios 1-2'!$D$2:$D$105=""Standard Deviation"")"),0.000980919821779765)</f>
        <v>0.000980919821779765</v>
      </c>
      <c r="BA6" s="38" t="n">
        <f aca="false">IFERROR(__xludf.dummyfunction("FILTER(FILTER('Data Scenarios 1-2'!$A$2:$BX$105,'Data Scenarios 1-2'!$A$1:$BX$1=""I_LAPTOP_4_OUTPUT""),'Data Scenarios 1-2'!$B$2:$B$105=$A6,'Data Scenarios 1-2'!$C$2:$C$105=""All"",'Data Scenarios 1-2'!$D$2:$D$105=""Standard Deviation"")"),0.01549763822772)</f>
        <v>0.01549763822772</v>
      </c>
      <c r="BB6" s="72" t="n">
        <f aca="false">IFERROR(__xludf.dummyfunction("FILTER(FILTER('Data Scenarios 1-2'!$A$2:$BX$105,'Data Scenarios 1-2'!$A$1:$BX$1=""V_LAPTOP_4_OUTPUT * I_LAPTOP_4_OUTPUT""),'Data Scenarios 1-2'!$B$2:$B$105=$A6,'Data Scenarios 1-2'!$C$2:$C$105=""All"",'Data Scenarios 1-2'!$D$2:$D$105=""Covariance"")"),-0.00000273105699237727)</f>
        <v>-2.73105699237727E-006</v>
      </c>
      <c r="BC6" s="65" t="n">
        <f aca="false">IFERROR(__xludf.dummyfunction("FILTER(FILTER('Data Scenarios 1-2'!$A$2:$BX$105,'Data Scenarios 1-2'!$A$1:$BX$1=""P_LAPTOP_4_OUTPUT""),'Data Scenarios 1-2'!$B$2:$B$105=$A6,'Data Scenarios 1-2'!$C$2:$C$105=""All"",'Data Scenarios 1-2'!$D$2:$D$105=""Standard Deviation"")"),0.281492841178498)</f>
        <v>0.281492841178498</v>
      </c>
      <c r="BD6" s="73" t="n">
        <f aca="false">ABS(I6)*SQRT((AZ6/F6)^2+(BA6/G6)^2+2*BB6/(F6*G6))</f>
        <v>0.28149313615459</v>
      </c>
      <c r="BE6" s="54" t="n">
        <f aca="false">IFERROR(__xludf.dummyfunction("FILTER(FILTER('Data Scenarios 1-2'!$A$2:$BX$105,'Data Scenarios 1-2'!$A$1:$BX$1=""V_LAPTOP_5_OUTPUT""),'Data Scenarios 1-2'!$B$2:$B$105=$A6,'Data Scenarios 1-2'!$C$2:$C$105=""All"",'Data Scenarios 1-2'!$D$2:$D$105=""Standard Deviation"")"),0.0141064377958408)</f>
        <v>0.0141064377958408</v>
      </c>
      <c r="BF6" s="48" t="n">
        <f aca="false">IFERROR(__xludf.dummyfunction("FILTER(FILTER('Data Scenarios 1-2'!$A$2:$BX$105,'Data Scenarios 1-2'!$A$1:$BX$1=""I_LAPTOP_5_OUTPUT""),'Data Scenarios 1-2'!$B$2:$B$105=$A6,'Data Scenarios 1-2'!$C$2:$C$105=""All"",'Data Scenarios 1-2'!$D$2:$D$105=""Standard Deviation"")"),0.00289292847857866)</f>
        <v>0.00289292847857866</v>
      </c>
      <c r="BG6" s="70" t="n">
        <f aca="false">IFERROR(__xludf.dummyfunction("FILTER(FILTER('Data Scenarios 1-2'!$A$2:$BX$105,'Data Scenarios 1-2'!$A$1:$BX$1=""V_LAPTOP_5_OUTPUT * I_LAPTOP_5_OUTPUT""),'Data Scenarios 1-2'!$B$2:$B$105=$A6,'Data Scenarios 1-2'!$C$2:$C$105=""All"",'Data Scenarios 1-2'!$D$2:$D$105=""Covariance"")"),0.0000403007322006718)</f>
        <v>4.03007322006718E-005</v>
      </c>
      <c r="BH6" s="38" t="n">
        <f aca="false">IFERROR(__xludf.dummyfunction("FILTER(FILTER('Data Scenarios 1-2'!$A$2:$BX$105,'Data Scenarios 1-2'!$A$1:$BX$1=""P_LAPTOP_5_OUTPUT""),'Data Scenarios 1-2'!$B$2:$B$105=$A6,'Data Scenarios 1-2'!$C$2:$C$105=""All"",'Data Scenarios 1-2'!$D$2:$D$105=""Standard Deviation"")"),0.107634270573431)</f>
        <v>0.107634270573431</v>
      </c>
      <c r="BI6" s="71" t="n">
        <f aca="false">ABS(M6)*SQRT((BE6/J6)^2+(BF6/K6)^2+2*BG6/(J6*K6))</f>
        <v>0.107630790468499</v>
      </c>
      <c r="BJ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K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L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M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N6" s="71" t="n">
        <f aca="false">ABS(Q6)*SQRT((BJ6/N6)^2+(BK6/O6)^2+2*BL6/(N6*O6))</f>
        <v>0.0338504539483416</v>
      </c>
      <c r="BO6" s="54" t="n">
        <f aca="false">IFERROR(__xludf.dummyfunction("FILTER(FILTER('Data Scenarios 1-2'!$A$2:$BX$105,'Data Scenarios 1-2'!$A$1:$BX$1=""V_LED_2""),'Data Scenarios 1-2'!$B$2:$B$105=$A6,'Data Scenarios 1-2'!$C$2:$C$105=""All"",'Data Scenarios 1-2'!$D$2:$D$105=""Standard Deviation"")"),0.00259315578703866)</f>
        <v>0.00259315578703866</v>
      </c>
      <c r="BP6" s="50" t="n">
        <f aca="false">IFERROR(__xludf.dummyfunction("FILTER(FILTER('Data Scenarios 1-2'!$A$2:$BX$105,'Data Scenarios 1-2'!$A$1:$BX$1=""I_LED_2""),'Data Scenarios 1-2'!$B$2:$B$105=$A6,'Data Scenarios 1-2'!$C$2:$C$105=""All"",'Data Scenarios 1-2'!$D$2:$D$105=""Standard Deviation"")"),0.00169396944637191)</f>
        <v>0.00169396944637191</v>
      </c>
      <c r="BQ6" s="49" t="n">
        <f aca="false">IFERROR(__xludf.dummyfunction("FILTER(FILTER('Data Scenarios 1-2'!$A$2:$BX$105,'Data Scenarios 1-2'!$A$1:$BX$1=""V_LED_2 * I_LED_2""),'Data Scenarios 1-2'!$B$2:$B$105=$A6,'Data Scenarios 1-2'!$C$2:$C$105=""All"",'Data Scenarios 1-2'!$D$2:$D$105=""Covariance"")"),-0.0000043872725029711)</f>
        <v>-4.3872725029711E-006</v>
      </c>
      <c r="BR6" s="38" t="n">
        <f aca="false">IFERROR(__xludf.dummyfunction("FILTER(FILTER('Data Scenarios 1-2'!$A$2:$BX$105,'Data Scenarios 1-2'!$A$1:$BX$1=""P_LED_2""),'Data Scenarios 1-2'!$B$2:$B$105=$A6,'Data Scenarios 1-2'!$C$2:$C$105=""All"",'Data Scenarios 1-2'!$D$2:$D$105=""Standard Deviation"")"),0.0377393494610319)</f>
        <v>0.0377393494610319</v>
      </c>
      <c r="BS6" s="71" t="n">
        <f aca="false">ABS(U6)*SQRT((BO6/R6)^2+(BP6/S6)^2+2*BQ6/(R6*S6))</f>
        <v>0.0377409689574338</v>
      </c>
      <c r="BT6" s="54" t="n">
        <f aca="false">IFERROR(__xludf.dummyfunction("FILTER(FILTER('Data Scenarios 1-2'!$A$2:$BX$105,'Data Scenarios 1-2'!$A$1:$BX$1=""V_LED_1""),'Data Scenarios 1-2'!$B$2:$B$105=$A6,'Data Scenarios 1-2'!$C$2:$C$105=""All"",'Data Scenarios 1-2'!$D$2:$D$105=""Standard Deviation"")"),0.000944755573878266)</f>
        <v>0.000944755573878266</v>
      </c>
      <c r="BU6" s="50" t="n">
        <f aca="false">IFERROR(__xludf.dummyfunction("FILTER(FILTER('Data Scenarios 1-2'!$A$2:$BX$105,'Data Scenarios 1-2'!$A$1:$BX$1=""I_LED_1""),'Data Scenarios 1-2'!$B$2:$B$105=$A6,'Data Scenarios 1-2'!$C$2:$C$105=""All"",'Data Scenarios 1-2'!$D$2:$D$105=""Standard Deviation"")"),0.00143788255118747)</f>
        <v>0.00143788255118747</v>
      </c>
      <c r="BV6" s="49" t="n">
        <f aca="false">IFERROR(__xludf.dummyfunction("FILTER(FILTER('Data Scenarios 1-2'!$A$2:$BX$105,'Data Scenarios 1-2'!$A$1:$BX$1=""V_LED_1 * I_LED_1""),'Data Scenarios 1-2'!$B$2:$B$105=$A6,'Data Scenarios 1-2'!$C$2:$C$105=""All"",'Data Scenarios 1-2'!$D$2:$D$105=""Covariance"")"),-0.0000011012919170509)</f>
        <v>-1.1012919170509E-006</v>
      </c>
      <c r="BW6" s="38" t="n">
        <f aca="false">IFERROR(__xludf.dummyfunction("FILTER(FILTER('Data Scenarios 1-2'!$A$2:$BX$105,'Data Scenarios 1-2'!$A$1:$BX$1=""P_LED_1""),'Data Scenarios 1-2'!$B$2:$B$105=$A6,'Data Scenarios 1-2'!$C$2:$C$105=""All"",'Data Scenarios 1-2'!$D$2:$D$105=""Standard Deviation"")"),0.0338513221306178)</f>
        <v>0.0338513221306178</v>
      </c>
      <c r="BX6" s="71" t="n">
        <f aca="false">ABS(Y6)*SQRT((BT6/V6)^2+(BU6/W6)^2+2*BV6/(V6*W6))</f>
        <v>0.0337928837599974</v>
      </c>
      <c r="BY6" s="54" t="n">
        <f aca="false">IFERROR(__xludf.dummyfunction("FILTER(FILTER('Data Scenarios 1-2'!$A$2:$BX$105,'Data Scenarios 1-2'!$A$1:$BX$1=""V_OUT_PS1""),'Data Scenarios 1-2'!$B$2:$B$105=$A6,'Data Scenarios 1-2'!$C$2:$C$105=""All"",'Data Scenarios 1-2'!$D$2:$D$105=""Standard Deviation"")"),0.000168328897698308)</f>
        <v>0.000168328897698308</v>
      </c>
      <c r="BZ6" s="40" t="n">
        <v>0.0139</v>
      </c>
      <c r="CA6" s="38" t="n">
        <f aca="false">IFERROR(__xludf.dummyfunction("FILTER(FILTER('Data Scenarios 1-2'!$A$2:$BX$105,'Data Scenarios 1-2'!$A$1:$BX$1=""P_OUT_PS1""),'Data Scenarios 1-2'!$B$2:$B$105=$A6,'Data Scenarios 1-2'!$C$2:$C$105=""All"",'Data Scenarios 1-2'!$D$2:$D$105=""Standard Deviation"")"),0.0016159244065213)</f>
        <v>0.0016159244065213</v>
      </c>
      <c r="CB6" s="73" t="n">
        <f aca="false">SQRT(BY6^2*(2*Z6/AA6)^2+BZ6^2*(Z6^2/AA6^2)^2)</f>
        <v>0.319991179860454</v>
      </c>
      <c r="CC6" s="54" t="n">
        <f aca="false">IFERROR(__xludf.dummyfunction("FILTER(FILTER('Data Scenarios 1-2'!$A$2:$BX$105,'Data Scenarios 1-2'!$A$1:$BX$1=""V_OUT_PS2""),'Data Scenarios 1-2'!$B$2:$B$105=$A6,'Data Scenarios 1-2'!$C$2:$C$105=""All"",'Data Scenarios 1-2'!$D$2:$D$105=""Standard Deviation"")"),0.00140068170491936)</f>
        <v>0.00140068170491936</v>
      </c>
      <c r="CD6" s="40" t="n">
        <v>0.0102</v>
      </c>
      <c r="CE6" s="38" t="n">
        <f aca="false">IFERROR(__xludf.dummyfunction("FILTER(FILTER('Data Scenarios 1-2'!$A$2:$BX$105,'Data Scenarios 1-2'!$A$1:$BX$1=""P_OUT_PS2""),'Data Scenarios 1-2'!$B$2:$B$105=$A6,'Data Scenarios 1-2'!$C$2:$C$105=""All"",'Data Scenarios 1-2'!$D$2:$D$105=""Standard Deviation"")"),0.0133626365892958)</f>
        <v>0.0133626365892958</v>
      </c>
      <c r="CF6" s="73" t="n">
        <f aca="false">SQRT(CC6^2*(2*AD6/AE6)^2+CD6^2*(AD6^2/AE6^2)^2)</f>
        <v>0.232556876961891</v>
      </c>
      <c r="CG6" s="54" t="n">
        <f aca="false">IFERROR(__xludf.dummyfunction("FILTER(FILTER('Data Scenarios 1-2'!$A$2:$BX$105,'Data Scenarios 1-2'!$A$1:$BX$1=""V_OUT_PS3""),'Data Scenarios 1-2'!$B$2:$B$105=$A6,'Data Scenarios 1-2'!$C$2:$C$105=""All"",'Data Scenarios 1-2'!$D$2:$D$105=""Standard Deviation"")"),0.000614099976724997)</f>
        <v>0.000614099976724997</v>
      </c>
      <c r="CH6" s="78" t="n">
        <v>0.0086</v>
      </c>
      <c r="CI6" s="38" t="n">
        <f aca="false">IFERROR(__xludf.dummyfunction("FILTER(FILTER('Data Scenarios 1-2'!$A$2:$BX$105,'Data Scenarios 1-2'!$A$1:$BX$1=""P_OUT_PS3""),'Data Scenarios 1-2'!$B$2:$B$105=$A6,'Data Scenarios 1-2'!$C$2:$C$105=""All"",'Data Scenarios 1-2'!$D$2:$D$105=""Standard Deviation"")"),0.00603551731574921)</f>
        <v>0.00603551731574921</v>
      </c>
      <c r="CJ6" s="73" t="n">
        <f aca="false">SQRT(CG6^2*(2*AH6/AI6)^2+CH6^2*(AH6^2/AI6^2)^2)</f>
        <v>0.20789027002071</v>
      </c>
      <c r="CK6" s="44" t="n">
        <f aca="false">IFERROR(__xludf.dummyfunction("FILTER(FILTER('Data Scenarios 1-2'!$A$2:$BX$105,'Data Scenarios 1-2'!$A$1:$BX$1=""P_In""),'Data Scenarios 1-2'!$B$2:$B$105=$A6,'Data Scenarios 1-2'!$C$2:$C$105=""All"",'Data Scenarios 1-2'!$D$2:$D$105=""Standard Deviation"")"),1.25757621982469)</f>
        <v>1.25757621982469</v>
      </c>
      <c r="CL6" s="57" t="n">
        <f aca="false">IFERROR(__xludf.dummyfunction("FILTER(FILTER('Data Scenarios 1-2'!$A$2:$BX$105,'Data Scenarios 1-2'!$A$1:$BX$1=""P_Secondary""),'Data Scenarios 1-2'!$B$2:$B$105=$A6,'Data Scenarios 1-2'!$C$2:$C$105=""All"",'Data Scenarios 1-2'!$D$2:$D$105=""Standard Deviation"")"),0.954653832659465)</f>
        <v>0.954653832659465</v>
      </c>
      <c r="CM6" s="74" t="n">
        <f aca="false">IFERROR(__xludf.dummyfunction("FILTER(FILTER('Data Scenarios 1-2'!$A$2:$BX$105,'Data Scenarios 1-2'!$A$1:$BX$1=""P_Out""),'Data Scenarios 1-2'!$B$2:$B$105=$A6,'Data Scenarios 1-2'!$C$2:$C$105=""All"",'Data Scenarios 1-2'!$D$2:$D$105=""Standard Deviation"")"),0.48537328252046)</f>
        <v>0.48537328252046</v>
      </c>
      <c r="CN6" s="62" t="n">
        <f aca="false">SQRT(AX6^2+BC6^2+BH6^2+BM6^2+BR6^2+BW6^2+CB6^2+CF6^2+CJ6^2)</f>
        <v>0.542465234209268</v>
      </c>
      <c r="CO6" s="74" t="n">
        <f aca="false">IFERROR(__xludf.dummyfunction("FILTER(FILTER('Data Scenarios 1-2'!$A$2:$BX$105,'Data Scenarios 1-2'!$A$1:$BX$1=""P_TransformerLoss""),'Data Scenarios 1-2'!$B$2:$B$105=$A6,'Data Scenarios 1-2'!$C$2:$C$105=""All"",'Data Scenarios 1-2'!$D$2:$D$105=""Standard Deviation"")"),0.351915247424241)</f>
        <v>0.351915247424241</v>
      </c>
      <c r="CP6" s="41" t="n">
        <f aca="false">IFERROR(__xludf.dummyfunction("FILTER(FILTER('Data Scenarios 1-2'!$A$2:$BX$105,'Data Scenarios 1-2'!$A$1:$BX$1=""P_ConverterLoss""),'Data Scenarios 1-2'!$B$2:$B$105=$A6,'Data Scenarios 1-2'!$C$2:$C$105=""All"",'Data Scenarios 1-2'!$D$2:$D$105=""Standard Deviation"")"),1.39224178188284)</f>
        <v>1.39224178188284</v>
      </c>
      <c r="CQ6" s="75" t="n">
        <f aca="false">SQRT(CL6^2+MAX(CM6:CN6)^2)</f>
        <v>1.09801296464893</v>
      </c>
      <c r="CR6" s="41" t="n">
        <f aca="false">IFERROR(__xludf.dummyfunction("FILTER(FILTER('Data Scenarios 1-2'!$A$2:$BX$105,'Data Scenarios 1-2'!$A$1:$BX$1=""P_SystemLoss""),'Data Scenarios 1-2'!$B$2:$B$105=$A6,'Data Scenarios 1-2'!$C$2:$C$105=""All"",'Data Scenarios 1-2'!$D$2:$D$105=""Standard Deviation"")"),1.71730944145628)</f>
        <v>1.71730944145628</v>
      </c>
      <c r="CS6" s="75" t="n">
        <f aca="false">SQRT(CK6^2+MAX(CM6:CN6)^2)</f>
        <v>1.36958624372263</v>
      </c>
      <c r="CT6" s="79" t="n">
        <v>1243.65919264041</v>
      </c>
      <c r="CU6" s="80" t="n">
        <v>1161.39861943905</v>
      </c>
      <c r="CV6" s="80" t="n">
        <v>82.260573201356</v>
      </c>
      <c r="CW6" s="80" t="n">
        <v>165.22851743905</v>
      </c>
      <c r="CX6" s="80" t="n">
        <v>247.489090640406</v>
      </c>
      <c r="CY6" s="45" t="n">
        <f aca="false">CT6-AL6</f>
        <v>-11.22068235959</v>
      </c>
      <c r="CZ6" s="41" t="n">
        <f aca="false">TINV(0.1,2)*CK6/SQRT(3)</f>
        <v>2.12009048004662</v>
      </c>
      <c r="DA6" s="66" t="n">
        <f aca="false">CY6/AL6</f>
        <v>-0.00894163862464525</v>
      </c>
      <c r="DB6" s="67" t="n">
        <f aca="false">CZ6/AL6</f>
        <v>0.0016894768354195</v>
      </c>
      <c r="DC6" s="45" t="n">
        <f aca="false">CU6-AM6</f>
        <v>-10.7766041720599</v>
      </c>
      <c r="DD6" s="65" t="n">
        <f aca="false">TINV(0.1,2)*CL6/SQRT(3)</f>
        <v>1.60940742235369</v>
      </c>
      <c r="DE6" s="66" t="n">
        <f aca="false">DC6/AM6</f>
        <v>-0.00919368022373016</v>
      </c>
      <c r="DF6" s="67" t="n">
        <f aca="false">DD6/AM6</f>
        <v>0.00137300924805048</v>
      </c>
      <c r="DG6" s="45" t="n">
        <f aca="false">CV6-AP6</f>
        <v>-0.444078187532909</v>
      </c>
      <c r="DH6" s="65" t="n">
        <f aca="false">TINV(0.1,2)*CO6/SQRT(3)</f>
        <v>0.59327788971025</v>
      </c>
      <c r="DI6" s="66" t="n">
        <f aca="false">DG6/AP6</f>
        <v>-0.00536944633796703</v>
      </c>
      <c r="DJ6" s="66" t="n">
        <f aca="false">DH6/AP6</f>
        <v>0.00717345251744758</v>
      </c>
      <c r="DK6" s="45" t="n">
        <f aca="false">CW6-AR6</f>
        <v>-9.7742129826201</v>
      </c>
      <c r="DL6" s="65" t="n">
        <f aca="false">TINV(0.1,2)*CP6/SQRT(3)</f>
        <v>2.34711701856483</v>
      </c>
      <c r="DM6" s="66" t="n">
        <f aca="false">DK6/AR6</f>
        <v>-0.0558517741927173</v>
      </c>
      <c r="DN6" s="67" t="n">
        <f aca="false">DL6/AR6</f>
        <v>0.0134118879911727</v>
      </c>
      <c r="DO6" s="45" t="n">
        <f aca="false">CX6-AT6</f>
        <v>-10.2182911701543</v>
      </c>
      <c r="DP6" s="65" t="n">
        <f aca="false">TINV(0.1,2)*CR6/SQRT(3)</f>
        <v>2.89513378253382</v>
      </c>
      <c r="DQ6" s="66" t="n">
        <f aca="false">DO6/AT6</f>
        <v>-0.0396507507792916</v>
      </c>
      <c r="DR6" s="66" t="n">
        <f aca="false">DP6/AT6</f>
        <v>0.0112341903526148</v>
      </c>
    </row>
    <row r="7" customFormat="false" ht="12.75" hidden="false" customHeight="false" outlineLevel="0" collapsed="false">
      <c r="A7" s="37" t="n">
        <v>1.4</v>
      </c>
      <c r="B7" s="38" t="n">
        <f aca="false">IFERROR(__xludf.dummyfunction("FILTER(FILTER('Data Scenarios 1-2'!$A$2:$BX$105,'Data Scenarios 1-2'!$A$1:$BX$1=""V_LAPTOP_3_OUTPUT""),'Data Scenarios 1-2'!$B$2:$B$105=$A7,'Data Scenarios 1-2'!$C$2:$C$105=""All"",'Data Scenarios 1-2'!$D$2:$D$105=""Mean"")"),18.2918842472222)</f>
        <v>18.2918842472222</v>
      </c>
      <c r="C7" s="65" t="n">
        <f aca="false">IFERROR(__xludf.dummyfunction("FILTER(FILTER('Data Scenarios 1-2'!$A$2:$BX$105,'Data Scenarios 1-2'!$A$1:$BX$1=""I_LAPTOP_3_OUTPUT""),'Data Scenarios 1-2'!$B$2:$B$105=$A7,'Data Scenarios 1-2'!$C$2:$C$105=""All"",'Data Scenarios 1-2'!$D$2:$D$105=""Mean"")"),3.97228358800516)</f>
        <v>3.97228358800516</v>
      </c>
      <c r="D7" s="65" t="n">
        <f aca="false">IFERROR(__xludf.dummyfunction("FILTER(FILTER('Data Scenarios 1-2'!$A$2:$BX$105,'Data Scenarios 1-2'!$A$1:$BX$1=""P_LAPTOP_3_OUTPUT""),'Data Scenarios 1-2'!$B$2:$B$105=$A7,'Data Scenarios 1-2'!$C$2:$C$105=""All"",'Data Scenarios 1-2'!$D$2:$D$105=""Mean"")"),72.6605526668598)</f>
        <v>72.6605526668598</v>
      </c>
      <c r="E7" s="68" t="n">
        <f aca="false">B7*C7</f>
        <v>72.6605515889309</v>
      </c>
      <c r="F7" s="38" t="n">
        <f aca="false">IFERROR(__xludf.dummyfunction("FILTER(FILTER('Data Scenarios 1-2'!$A$2:$BX$105,'Data Scenarios 1-2'!$A$1:$BX$1=""V_LAPTOP_4_OUTPUT""),'Data Scenarios 1-2'!$B$2:$B$105=$A7,'Data Scenarios 1-2'!$C$2:$C$105=""All"",'Data Scenarios 1-2'!$D$2:$D$105=""Mean"")"),18.2003575611111)</f>
        <v>18.2003575611111</v>
      </c>
      <c r="G7" s="38" t="n">
        <f aca="false">IFERROR(__xludf.dummyfunction("FILTER(FILTER('Data Scenarios 1-2'!$A$2:$BX$105,'Data Scenarios 1-2'!$A$1:$BX$1=""I_LAPTOP_4_OUTPUT""),'Data Scenarios 1-2'!$B$2:$B$105=$A7,'Data Scenarios 1-2'!$C$2:$C$105=""All"",'Data Scenarios 1-2'!$D$2:$D$105=""Mean"")"),3.87367505735114)</f>
        <v>3.87367505735114</v>
      </c>
      <c r="H7" s="65" t="n">
        <f aca="false">IFERROR(__xludf.dummyfunction("FILTER(FILTER('Data Scenarios 1-2'!$A$2:$BX$105,'Data Scenarios 1-2'!$A$1:$BX$1=""P_LAPTOP_4_OUTPUT""),'Data Scenarios 1-2'!$B$2:$B$105=$A7,'Data Scenarios 1-2'!$C$2:$C$105=""All"",'Data Scenarios 1-2'!$D$2:$D$105=""Mean"")"),70.5022683961235)</f>
        <v>70.5022683961235</v>
      </c>
      <c r="I7" s="68" t="n">
        <f aca="false">F7*G7</f>
        <v>70.5022711193483</v>
      </c>
      <c r="J7" s="38" t="n">
        <f aca="false">IFERROR(__xludf.dummyfunction("FILTER(FILTER('Data Scenarios 1-2'!$A$2:$BX$105,'Data Scenarios 1-2'!$A$1:$BX$1=""V_LAPTOP_5_OUTPUT""),'Data Scenarios 1-2'!$B$2:$B$105=$A7,'Data Scenarios 1-2'!$C$2:$C$105=""All"",'Data Scenarios 1-2'!$D$2:$D$105=""Mean"")"),18.2419945472222)</f>
        <v>18.2419945472222</v>
      </c>
      <c r="K7" s="3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1-2'!$D$2:$D$105=""Mean"")"),3.90613906642886)</f>
        <v>3.90613906642886</v>
      </c>
      <c r="L7" s="65" t="n">
        <f aca="false">IFERROR(__xludf.dummyfunction("FILTER(FILTER('Data Scenarios 1-2'!$A$2:$BX$105,'Data Scenarios 1-2'!$A$1:$BX$1=""P_LAPTOP_5_OUTPUT""),'Data Scenarios 1-2'!$B$2:$B$105=$A7,'Data Scenarios 1-2'!$C$2:$C$105=""All"",'Data Scenarios 1-2'!$D$2:$D$105=""Mean"")"),71.2557691147812)</f>
        <v>71.2557691147812</v>
      </c>
      <c r="M7" s="68" t="n">
        <f aca="false">J7*K7</f>
        <v>71.2557675504869</v>
      </c>
      <c r="N7" s="38" t="n">
        <f aca="false">IFERROR(__xludf.dummyfunction("FILTER(FILTER('Data Scenarios 1-2'!$A$2:$BX$105,'Data Scenarios 1-2'!$A$1:$BX$1=""V_LED_1""),'Data Scenarios 1-2'!$B$2:$B$105=$A7,'Data Scenarios 1-2'!$C$2:$C$105=""All"",'Data Scenarios 1-2'!$D$2:$D$105=""Mean"")"),24.1551743055555)</f>
        <v>24.1551743055555</v>
      </c>
      <c r="O7" s="38" t="n">
        <f aca="false">IFERROR(__xludf.dummyfunction("FILTER(FILTER('Data Scenarios 1-2'!$A$2:$BX$105,'Data Scenarios 1-2'!$A$1:$BX$1=""I_LED_1""),'Data Scenarios 1-2'!$B$2:$B$105=$A7,'Data Scenarios 1-2'!$C$2:$C$105=""All"",'Data Scenarios 1-2'!$D$2:$D$105=""Mean"")"),1.16115308996742)</f>
        <v>1.16115308996742</v>
      </c>
      <c r="P7" s="65" t="n">
        <f aca="false">IFERROR(__xludf.dummyfunction("FILTER(FILTER('Data Scenarios 1-2'!$A$2:$BX$105,'Data Scenarios 1-2'!$A$1:$BX$1=""P_LED_1""),'Data Scenarios 1-2'!$B$2:$B$105=$A7,'Data Scenarios 1-2'!$C$2:$C$105=""All"",'Data Scenarios 1-2'!$D$2:$D$105=""Mean"")"),28.0478456160767)</f>
        <v>28.0478456160767</v>
      </c>
      <c r="Q7" s="69" t="n">
        <f aca="false">N7*O7</f>
        <v>28.0478552835974</v>
      </c>
      <c r="R7" s="38" t="n">
        <f aca="false">IFERROR(__xludf.dummyfunction("FILTER(FILTER('Data Scenarios 1-2'!$A$2:$BX$105,'Data Scenarios 1-2'!$A$1:$BX$1=""V_LED_2""),'Data Scenarios 1-2'!$B$2:$B$105=$A7,'Data Scenarios 1-2'!$C$2:$C$105=""All"",'Data Scenarios 1-2'!$D$2:$D$105=""Mean"")"),24.0780824277777)</f>
        <v>24.0780824277777</v>
      </c>
      <c r="S7" s="38" t="n">
        <f aca="false">IFERROR(__xludf.dummyfunction("FILTER(FILTER('Data Scenarios 1-2'!$A$2:$BX$105,'Data Scenarios 1-2'!$A$1:$BX$1=""I_LED_2""),'Data Scenarios 1-2'!$B$2:$B$105=$A7,'Data Scenarios 1-2'!$C$2:$C$105=""All"",'Data Scenarios 1-2'!$D$2:$D$105=""Mean"")"),1.17846438445581)</f>
        <v>1.17846438445581</v>
      </c>
      <c r="T7" s="65" t="n">
        <f aca="false">IFERROR(__xludf.dummyfunction("FILTER(FILTER('Data Scenarios 1-2'!$A$2:$BX$105,'Data Scenarios 1-2'!$A$1:$BX$1=""P_LED_2""),'Data Scenarios 1-2'!$B$2:$B$105=$A7,'Data Scenarios 1-2'!$C$2:$C$105=""All"",'Data Scenarios 1-2'!$D$2:$D$105=""Mean"")"),28.3751494518021)</f>
        <v>28.3751494518021</v>
      </c>
      <c r="U7" s="69" t="n">
        <f aca="false">R7*S7</f>
        <v>28.3751625871273</v>
      </c>
      <c r="V7" s="38" t="n">
        <f aca="false">IFERROR(__xludf.dummyfunction("FILTER(FILTER('Data Scenarios 1-2'!$A$2:$BX$105,'Data Scenarios 1-2'!$A$1:$BX$1=""V_LED_3""),'Data Scenarios 1-2'!$B$2:$B$105=$A7,'Data Scenarios 1-2'!$C$2:$C$105=""All"",'Data Scenarios 1-2'!$D$2:$D$105=""Mean"")"),24.1037108388888)</f>
        <v>24.1037108388888</v>
      </c>
      <c r="W7" s="38" t="n">
        <f aca="false">IFERROR(__xludf.dummyfunction("FILTER(FILTER('Data Scenarios 1-2'!$A$2:$BX$105,'Data Scenarios 1-2'!$A$1:$BX$1=""I_LED_3""),'Data Scenarios 1-2'!$B$2:$B$105=$A7,'Data Scenarios 1-2'!$C$2:$C$105=""All"",'Data Scenarios 1-2'!$D$2:$D$105=""Mean"")"),1.13724902537121)</f>
        <v>1.13724902537121</v>
      </c>
      <c r="X7" s="65" t="n">
        <f aca="false">IFERROR(__xludf.dummyfunction("FILTER(FILTER('Data Scenarios 1-2'!$A$2:$BX$105,'Data Scenarios 1-2'!$A$1:$BX$1=""P_LED_3""),'Data Scenarios 1-2'!$B$2:$B$105=$A7,'Data Scenarios 1-2'!$C$2:$C$105=""All"",'Data Scenarios 1-2'!$D$2:$D$105=""Mean"")"),27.4119136836453)</f>
        <v>27.4119136836453</v>
      </c>
      <c r="Y7" s="69" t="n">
        <f aca="false">V7*W7</f>
        <v>27.4119216593558</v>
      </c>
      <c r="Z7" s="38" t="n">
        <f aca="false">IFERROR(__xludf.dummyfunction("FILTER(FILTER('Data Scenarios 1-2'!$A$2:$BX$105,'Data Scenarios 1-2'!$A$1:$BX$1=""V_OUT_PS1""),'Data Scenarios 1-2'!$B$2:$B$105=$A7,'Data Scenarios 1-2'!$C$2:$C$105=""All"",'Data Scenarios 1-2'!$D$2:$D$105=""Mean"")"),48.1868289583333)</f>
        <v>48.1868289583333</v>
      </c>
      <c r="AA7" s="40" t="n">
        <v>5.635</v>
      </c>
      <c r="AB7" s="41" t="n">
        <f aca="false">IFERROR(__xludf.dummyfunction("FILTER(FILTER('Data Scenarios 1-2'!$A$2:$BX$105,'Data Scenarios 1-2'!$A$1:$BX$1=""P_OUT_PS1""),'Data Scenarios 1-2'!$B$2:$B$105=$A7,'Data Scenarios 1-2'!$C$2:$C$105=""All"",'Data Scenarios 1-2'!$D$2:$D$105=""Mean"")"),411.696894636103)</f>
        <v>411.696894636103</v>
      </c>
      <c r="AC7" s="39" t="n">
        <f aca="false">Z7^2/AA7</f>
        <v>412.062197881042</v>
      </c>
      <c r="AD7" s="38" t="n">
        <f aca="false">IFERROR(__xludf.dummyfunction("FILTER(FILTER('Data Scenarios 1-2'!$A$2:$BX$105,'Data Scenarios 1-2'!$A$1:$BX$1=""V_OUT_PS2""),'Data Scenarios 1-2'!$B$2:$B$105=$A7,'Data Scenarios 1-2'!$C$2:$C$105=""All"",'Data Scenarios 1-2'!$D$2:$D$105=""Mean"")"),47.7719269)</f>
        <v>47.7719269</v>
      </c>
      <c r="AE7" s="40" t="n">
        <v>5.645</v>
      </c>
      <c r="AF7" s="41" t="n">
        <f aca="false">IFERROR(__xludf.dummyfunction("FILTER(FILTER('Data Scenarios 1-2'!$A$2:$BX$105,'Data Scenarios 1-2'!$A$1:$BX$1=""P_OUT_PS2""),'Data Scenarios 1-2'!$B$2:$B$105=$A7,'Data Scenarios 1-2'!$C$2:$C$105=""All"",'Data Scenarios 1-2'!$D$2:$D$105=""Mean"")"),404.637766281823)</f>
        <v>404.637766281823</v>
      </c>
      <c r="AG7" s="39" t="n">
        <f aca="false">AD7^2/AE7</f>
        <v>404.279362221248</v>
      </c>
      <c r="AH7" s="38" t="n">
        <f aca="false">IFERROR(__xludf.dummyfunction("FILTER(FILTER('Data Scenarios 1-2'!$A$2:$BX$105,'Data Scenarios 1-2'!$A$1:$BX$1=""V_OUT_PS3""),'Data Scenarios 1-2'!$B$2:$B$105=$A7,'Data Scenarios 1-2'!$C$2:$C$105=""All"",'Data Scenarios 1-2'!$D$2:$D$105=""Mean"")"),48.1994396444444)</f>
        <v>48.1994396444444</v>
      </c>
      <c r="AI7" s="76" t="n">
        <v>5.6</v>
      </c>
      <c r="AJ7" s="41" t="n">
        <f aca="false">IFERROR(__xludf.dummyfunction("FILTER(FILTER('Data Scenarios 1-2'!$A$2:$BX$105,'Data Scenarios 1-2'!$A$1:$BX$1=""P_OUT_PS3""),'Data Scenarios 1-2'!$B$2:$B$105=$A7,'Data Scenarios 1-2'!$C$2:$C$105=""All"",'Data Scenarios 1-2'!$D$2:$D$105=""Mean"")"),414.854639806208)</f>
        <v>414.854639806208</v>
      </c>
      <c r="AK7" s="77" t="n">
        <f aca="false">AH7^2/AI7</f>
        <v>414.854639649721</v>
      </c>
      <c r="AL7" s="44" t="n">
        <f aca="false">IFERROR(__xludf.dummyfunction("FILTER(FILTER('Data Scenarios 1-2'!$A$2:$BX$105,'Data Scenarios 1-2'!$A$1:$BX$1=""P_In""),'Data Scenarios 1-2'!$B$2:$B$105=$A7,'Data Scenarios 1-2'!$C$2:$C$105=""All"",'Data Scenarios 1-2'!$D$2:$D$105=""Mean"")"),1870.86011666666)</f>
        <v>1870.86011666666</v>
      </c>
      <c r="AM7" s="44" t="n">
        <f aca="false">IFERROR(__xludf.dummyfunction("FILTER(FILTER('Data Scenarios 1-2'!$A$2:$BX$105,'Data Scenarios 1-2'!$A$1:$BX$1=""P_Secondary""),'Data Scenarios 1-2'!$B$2:$B$105=$A7,'Data Scenarios 1-2'!$C$2:$C$105=""All"",'Data Scenarios 1-2'!$D$2:$D$105=""Mean"")"),1750.23456222222)</f>
        <v>1750.23456222222</v>
      </c>
      <c r="AN7" s="45" t="n">
        <f aca="false">IFERROR(__xludf.dummyfunction("FILTER(FILTER('Data Scenarios 1-2'!$A$2:$BX$105,'Data Scenarios 1-2'!$A$1:$BX$1=""P_Out""),'Data Scenarios 1-2'!$B$2:$B$105=$A7,'Data Scenarios 1-2'!$C$2:$C$105=""All"",'Data Scenarios 1-2'!$D$2:$D$105=""Mean"")"),1529.44279965342)</f>
        <v>1529.44279965342</v>
      </c>
      <c r="AO7" s="46" t="n">
        <f aca="false">E7+I7+M7+Q7+U7+Y7+AC7+AG7+AK7</f>
        <v>1529.44972954086</v>
      </c>
      <c r="AP7" s="45" t="n">
        <f aca="false">IFERROR(__xludf.dummyfunction("FILTER(FILTER('Data Scenarios 1-2'!$A$2:$BX$105,'Data Scenarios 1-2'!$A$1:$BX$1=""P_TransformerLoss""),'Data Scenarios 1-2'!$B$2:$B$105=$A7,'Data Scenarios 1-2'!$C$2:$C$105=""All"",'Data Scenarios 1-2'!$D$2:$D$105=""Mean"")"),120.625554444444)</f>
        <v>120.625554444444</v>
      </c>
      <c r="AQ7" s="41" t="n">
        <f aca="false">IFERROR(__xludf.dummyfunction("FILTER(FILTER('Data Scenarios 1-2'!$A$2:$BX$105,'Data Scenarios 1-2'!$A$1:$BX$1=""P_ConverterLoss""),'Data Scenarios 1-2'!$B$2:$B$105=$A7,'Data Scenarios 1-2'!$C$2:$C$105=""All"",'Data Scenarios 1-2'!$D$2:$D$105=""Mean"")"),220.791762568797)</f>
        <v>220.791762568797</v>
      </c>
      <c r="AR7" s="46" t="n">
        <f aca="false">AM7-AO7</f>
        <v>220.784832681363</v>
      </c>
      <c r="AS7" s="41" t="n">
        <f aca="false">IFERROR(__xludf.dummyfunction("FILTER(FILTER('Data Scenarios 1-2'!$A$2:$BX$105,'Data Scenarios 1-2'!$A$1:$BX$1=""P_SystemLoss""),'Data Scenarios 1-2'!$B$2:$B$105=$A7,'Data Scenarios 1-2'!$C$2:$C$105=""All"",'Data Scenarios 1-2'!$D$2:$D$105=""Mean"")"),341.417317013241)</f>
        <v>341.417317013241</v>
      </c>
      <c r="AT7" s="46" t="n">
        <f aca="false">AL7-AO7</f>
        <v>341.410387125803</v>
      </c>
      <c r="AU7" s="47" t="n">
        <f aca="false">IFERROR(__xludf.dummyfunction("FILTER(FILTER('Data Scenarios 1-2'!$A$2:$BX$105,'Data Scenarios 1-2'!$A$1:$BX$1=""V_LAPTOP_3_OUTPUT""),'Data Scenarios 1-2'!$B$2:$B$105=$A7,'Data Scenarios 1-2'!$C$2:$C$105=""All"",'Data Scenarios 1-2'!$D$2:$D$105=""Standard Deviation"")"),0.00212920197011418)</f>
        <v>0.00212920197011418</v>
      </c>
      <c r="AV7" s="48" t="n">
        <f aca="false">IFERROR(__xludf.dummyfunction("FILTER(FILTER('Data Scenarios 1-2'!$A$2:$BX$105,'Data Scenarios 1-2'!$A$1:$BX$1=""I_LAPTOP_3_OUTPUT""),'Data Scenarios 1-2'!$B$2:$B$105=$A7,'Data Scenarios 1-2'!$C$2:$C$105=""All"",'Data Scenarios 1-2'!$D$2:$D$105=""Standard Deviation"")"),0.000818666083031085)</f>
        <v>0.000818666083031085</v>
      </c>
      <c r="AW7" s="49" t="n">
        <f aca="false">IFERROR(__xludf.dummyfunction("FILTER(FILTER('Data Scenarios 1-2'!$A$2:$BX$105,'Data Scenarios 1-2'!$A$1:$BX$1=""V_LAPTOP_3_OUTPUT * I_LAPTOP_3_OUTPUT""),'Data Scenarios 1-2'!$B$2:$B$105=$A7,'Data Scenarios 1-2'!$C$2:$C$105=""All"",'Data Scenarios 1-2'!$D$2:$D$105=""Covariance"")"),0.000000433216135817856)</f>
        <v>4.33216135817856E-007</v>
      </c>
      <c r="AX7" s="38" t="n">
        <f aca="false">IFERROR(__xludf.dummyfunction("FILTER(FILTER('Data Scenarios 1-2'!$A$2:$BX$105,'Data Scenarios 1-2'!$A$1:$BX$1=""P_LAPTOP_3_OUTPUT""),'Data Scenarios 1-2'!$B$2:$B$105=$A7,'Data Scenarios 1-2'!$C$2:$C$105=""All"",'Data Scenarios 1-2'!$D$2:$D$105=""Standard Deviation"")"),0.0189410722631741)</f>
        <v>0.0189410722631741</v>
      </c>
      <c r="AY7" s="71" t="n">
        <f aca="false">ABS(E7)*SQRT((AU7/B7)^2+(AV7/C7)^2+2*AW7/(B7*C7))</f>
        <v>0.0189403989239494</v>
      </c>
      <c r="AZ7" s="47" t="n">
        <f aca="false">IFERROR(__xludf.dummyfunction("FILTER(FILTER('Data Scenarios 1-2'!$A$2:$BX$105,'Data Scenarios 1-2'!$A$1:$BX$1=""V_LAPTOP_4_OUTPUT""),'Data Scenarios 1-2'!$B$2:$B$105=$A7,'Data Scenarios 1-2'!$C$2:$C$105=""All"",'Data Scenarios 1-2'!$D$2:$D$105=""Standard Deviation"")"),0.00210597223622352)</f>
        <v>0.00210597223622352</v>
      </c>
      <c r="BA7" s="50" t="n">
        <f aca="false">IFERROR(__xludf.dummyfunction("FILTER(FILTER('Data Scenarios 1-2'!$A$2:$BX$105,'Data Scenarios 1-2'!$A$1:$BX$1=""I_LAPTOP_4_OUTPUT""),'Data Scenarios 1-2'!$B$2:$B$105=$A7,'Data Scenarios 1-2'!$C$2:$C$105=""All"",'Data Scenarios 1-2'!$D$2:$D$105=""Standard Deviation"")"),0.00344520837850706)</f>
        <v>0.00344520837850706</v>
      </c>
      <c r="BB7" s="72" t="n">
        <f aca="false">IFERROR(__xludf.dummyfunction("FILTER(FILTER('Data Scenarios 1-2'!$A$2:$BX$105,'Data Scenarios 1-2'!$A$1:$BX$1=""V_LAPTOP_4_OUTPUT * I_LAPTOP_4_OUTPUT""),'Data Scenarios 1-2'!$B$2:$B$105=$A7,'Data Scenarios 1-2'!$C$2:$C$105=""All"",'Data Scenarios 1-2'!$D$2:$D$105=""Covariance"")"),0.00000184125416369357)</f>
        <v>1.84125416369357E-006</v>
      </c>
      <c r="BC7" s="38" t="n">
        <f aca="false">IFERROR(__xludf.dummyfunction("FILTER(FILTER('Data Scenarios 1-2'!$A$2:$BX$105,'Data Scenarios 1-2'!$A$1:$BX$1=""P_LAPTOP_4_OUTPUT""),'Data Scenarios 1-2'!$B$2:$B$105=$A7,'Data Scenarios 1-2'!$C$2:$C$105=""All"",'Data Scenarios 1-2'!$D$2:$D$105=""Standard Deviation"")"),0.0652483096220595)</f>
        <v>0.0652483096220595</v>
      </c>
      <c r="BD7" s="71" t="n">
        <f aca="false">ABS(I7)*SQRT((AZ7/F7)^2+(BA7/G7)^2+2*BB7/(F7*G7))</f>
        <v>0.0652531257708542</v>
      </c>
      <c r="BE7" s="47" t="n">
        <f aca="false">IFERROR(__xludf.dummyfunction("FILTER(FILTER('Data Scenarios 1-2'!$A$2:$BX$105,'Data Scenarios 1-2'!$A$1:$BX$1=""V_LAPTOP_5_OUTPUT""),'Data Scenarios 1-2'!$B$2:$B$105=$A7,'Data Scenarios 1-2'!$C$2:$C$105=""All"",'Data Scenarios 1-2'!$D$2:$D$105=""Standard Deviation"")"),0.00218705316589193)</f>
        <v>0.00218705316589193</v>
      </c>
      <c r="BF7" s="48" t="n">
        <f aca="false">IFERROR(__xludf.dummyfunction("FILTER(FILTER('Data Scenarios 1-2'!$A$2:$BX$105,'Data Scenarios 1-2'!$A$1:$BX$1=""I_LAPTOP_5_OUTPUT""),'Data Scenarios 1-2'!$B$2:$B$105=$A7,'Data Scenarios 1-2'!$C$2:$C$105=""All"",'Data Scenarios 1-2'!$D$2:$D$105=""Standard Deviation"")"),0.000369604789054093)</f>
        <v>0.000369604789054093</v>
      </c>
      <c r="BG7" s="49" t="n">
        <f aca="false">IFERROR(__xludf.dummyfunction("FILTER(FILTER('Data Scenarios 1-2'!$A$2:$BX$105,'Data Scenarios 1-2'!$A$1:$BX$1=""V_LAPTOP_5_OUTPUT * I_LAPTOP_5_OUTPUT""),'Data Scenarios 1-2'!$B$2:$B$105=$A7,'Data Scenarios 1-2'!$C$2:$C$105=""All"",'Data Scenarios 1-2'!$D$2:$D$105=""Covariance"")"),-0.000000656151279384167)</f>
        <v>-6.56151279384167E-007</v>
      </c>
      <c r="BH7" s="38" t="n">
        <f aca="false">IFERROR(__xludf.dummyfunction("FILTER(FILTER('Data Scenarios 1-2'!$A$2:$BX$105,'Data Scenarios 1-2'!$A$1:$BX$1=""P_LAPTOP_5_OUTPUT""),'Data Scenarios 1-2'!$B$2:$B$105=$A7,'Data Scenarios 1-2'!$C$2:$C$105=""All"",'Data Scenarios 1-2'!$D$2:$D$105=""Standard Deviation"")"),0.00499104301751683)</f>
        <v>0.00499104301751683</v>
      </c>
      <c r="BI7" s="71" t="n">
        <f aca="false">ABS(M7)*SQRT((BE7/J7)^2+(BF7/K7)^2+2*BG7/(J7*K7))</f>
        <v>0.0049931539387778</v>
      </c>
      <c r="BJ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K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L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M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N7" s="71" t="n">
        <f aca="false">ABS(Q7)*SQRT((BJ7/N7)^2+(BK7/O7)^2+2*BL7/(N7*O7))</f>
        <v>0.0744136989928266</v>
      </c>
      <c r="BO7" s="47" t="n">
        <f aca="false">IFERROR(__xludf.dummyfunction("FILTER(FILTER('Data Scenarios 1-2'!$A$2:$BX$105,'Data Scenarios 1-2'!$A$1:$BX$1=""V_LED_2""),'Data Scenarios 1-2'!$B$2:$B$105=$A7,'Data Scenarios 1-2'!$C$2:$C$105=""All"",'Data Scenarios 1-2'!$D$2:$D$105=""Standard Deviation"")"),0.00227031908208277)</f>
        <v>0.00227031908208277</v>
      </c>
      <c r="BP7" s="50" t="n">
        <f aca="false">IFERROR(__xludf.dummyfunction("FILTER(FILTER('Data Scenarios 1-2'!$A$2:$BX$105,'Data Scenarios 1-2'!$A$1:$BX$1=""I_LED_2""),'Data Scenarios 1-2'!$B$2:$B$105=$A7,'Data Scenarios 1-2'!$C$2:$C$105=""All"",'Data Scenarios 1-2'!$D$2:$D$105=""Standard Deviation"")"),0.00430076986862793)</f>
        <v>0.00430076986862793</v>
      </c>
      <c r="BQ7" s="72" t="n">
        <f aca="false">IFERROR(__xludf.dummyfunction("FILTER(FILTER('Data Scenarios 1-2'!$A$2:$BX$105,'Data Scenarios 1-2'!$A$1:$BX$1=""V_LED_2 * I_LED_2""),'Data Scenarios 1-2'!$B$2:$B$105=$A7,'Data Scenarios 1-2'!$C$2:$C$105=""All"",'Data Scenarios 1-2'!$D$2:$D$105=""Covariance"")"),-0.00000964943982237507)</f>
        <v>-9.64943982237507E-006</v>
      </c>
      <c r="BR7" s="38" t="n">
        <f aca="false">IFERROR(__xludf.dummyfunction("FILTER(FILTER('Data Scenarios 1-2'!$A$2:$BX$105,'Data Scenarios 1-2'!$A$1:$BX$1=""P_LED_2""),'Data Scenarios 1-2'!$B$2:$B$105=$A7,'Data Scenarios 1-2'!$C$2:$C$105=""All"",'Data Scenarios 1-2'!$D$2:$D$105=""Standard Deviation"")"),0.100911495788453)</f>
        <v>0.100911495788453</v>
      </c>
      <c r="BS7" s="73" t="n">
        <f aca="false">ABS(U7)*SQRT((BO7/R7)^2+(BP7/S7)^2+2*BQ7/(R7*S7))</f>
        <v>0.100911053246566</v>
      </c>
      <c r="BT7" s="47" t="n">
        <f aca="false">IFERROR(__xludf.dummyfunction("FILTER(FILTER('Data Scenarios 1-2'!$A$2:$BX$105,'Data Scenarios 1-2'!$A$1:$BX$1=""V_LED_1""),'Data Scenarios 1-2'!$B$2:$B$105=$A7,'Data Scenarios 1-2'!$C$2:$C$105=""All"",'Data Scenarios 1-2'!$D$2:$D$105=""Standard Deviation"")"),0.00177114264979691)</f>
        <v>0.00177114264979691</v>
      </c>
      <c r="BU7" s="50" t="n">
        <f aca="false">IFERROR(__xludf.dummyfunction("FILTER(FILTER('Data Scenarios 1-2'!$A$2:$BX$105,'Data Scenarios 1-2'!$A$1:$BX$1=""I_LED_1""),'Data Scenarios 1-2'!$B$2:$B$105=$A7,'Data Scenarios 1-2'!$C$2:$C$105=""All"",'Data Scenarios 1-2'!$D$2:$D$105=""Standard Deviation"")"),0.00316525146995814)</f>
        <v>0.00316525146995814</v>
      </c>
      <c r="BV7" s="72" t="n">
        <f aca="false">IFERROR(__xludf.dummyfunction("FILTER(FILTER('Data Scenarios 1-2'!$A$2:$BX$105,'Data Scenarios 1-2'!$A$1:$BX$1=""V_LED_1 * I_LED_1""),'Data Scenarios 1-2'!$B$2:$B$105=$A7,'Data Scenarios 1-2'!$C$2:$C$105=""All"",'Data Scenarios 1-2'!$D$2:$D$105=""Covariance"")"),-0.00000557145014033246)</f>
        <v>-5.57145014033246E-006</v>
      </c>
      <c r="BW7" s="38" t="n">
        <f aca="false">IFERROR(__xludf.dummyfunction("FILTER(FILTER('Data Scenarios 1-2'!$A$2:$BX$105,'Data Scenarios 1-2'!$A$1:$BX$1=""P_LED_1""),'Data Scenarios 1-2'!$B$2:$B$105=$A7,'Data Scenarios 1-2'!$C$2:$C$105=""All"",'Data Scenarios 1-2'!$D$2:$D$105=""Standard Deviation"")"),0.0744128456345502)</f>
        <v>0.0744128456345502</v>
      </c>
      <c r="BX7" s="71" t="n">
        <f aca="false">ABS(Y7)*SQRT((BT7/V7)^2+(BU7/W7)^2+2*BV7/(V7*W7))</f>
        <v>0.0742928661921195</v>
      </c>
      <c r="BY7" s="54" t="n">
        <f aca="false">IFERROR(__xludf.dummyfunction("FILTER(FILTER('Data Scenarios 1-2'!$A$2:$BX$105,'Data Scenarios 1-2'!$A$1:$BX$1=""V_OUT_PS1""),'Data Scenarios 1-2'!$B$2:$B$105=$A7,'Data Scenarios 1-2'!$C$2:$C$105=""All"",'Data Scenarios 1-2'!$D$2:$D$105=""Standard Deviation"")"),0.00070524913747103)</f>
        <v>0.00070524913747103</v>
      </c>
      <c r="BZ7" s="78" t="n">
        <v>0.0057</v>
      </c>
      <c r="CA7" s="38" t="n">
        <f aca="false">IFERROR(__xludf.dummyfunction("FILTER(FILTER('Data Scenarios 1-2'!$A$2:$BX$105,'Data Scenarios 1-2'!$A$1:$BX$1=""P_OUT_PS1""),'Data Scenarios 1-2'!$B$2:$B$105=$A7,'Data Scenarios 1-2'!$C$2:$C$105=""All"",'Data Scenarios 1-2'!$D$2:$D$105=""Standard Deviation"")"),0.0120508250119244)</f>
        <v>0.0120508250119244</v>
      </c>
      <c r="CB7" s="73" t="n">
        <f aca="false">SQRT(BY7^2*(2*Z7/AA7)^2+BZ7^2*(Z7^2/AA7^2)^2)</f>
        <v>0.4169898369397</v>
      </c>
      <c r="CC7" s="54" t="n">
        <f aca="false">IFERROR(__xludf.dummyfunction("FILTER(FILTER('Data Scenarios 1-2'!$A$2:$BX$105,'Data Scenarios 1-2'!$A$1:$BX$1=""V_OUT_PS2""),'Data Scenarios 1-2'!$B$2:$B$105=$A7,'Data Scenarios 1-2'!$C$2:$C$105=""All"",'Data Scenarios 1-2'!$D$2:$D$105=""Standard Deviation"")"),0.000189696421945671)</f>
        <v>0.000189696421945671</v>
      </c>
      <c r="CD7" s="78" t="n">
        <v>0.0041</v>
      </c>
      <c r="CE7" s="38" t="n">
        <f aca="false">IFERROR(__xludf.dummyfunction("FILTER(FILTER('Data Scenarios 1-2'!$A$2:$BX$105,'Data Scenarios 1-2'!$A$1:$BX$1=""P_OUT_PS2""),'Data Scenarios 1-2'!$B$2:$B$105=$A7,'Data Scenarios 1-2'!$C$2:$C$105=""All"",'Data Scenarios 1-2'!$D$2:$D$105=""Standard Deviation"")"),0.00321352519717003)</f>
        <v>0.00321352519717003</v>
      </c>
      <c r="CF7" s="73" t="n">
        <f aca="false">SQRT(CC7^2*(2*AD7/AE7)^2+CD7^2*(AD7^2/AE7^2)^2)</f>
        <v>0.293648267814223</v>
      </c>
      <c r="CG7" s="54" t="n">
        <f aca="false">IFERROR(__xludf.dummyfunction("FILTER(FILTER('Data Scenarios 1-2'!$A$2:$BX$105,'Data Scenarios 1-2'!$A$1:$BX$1=""V_OUT_PS3""),'Data Scenarios 1-2'!$B$2:$B$105=$A7,'Data Scenarios 1-2'!$C$2:$C$105=""All"",'Data Scenarios 1-2'!$D$2:$D$105=""Standard Deviation"")"),0.00107922178258315)</f>
        <v>0.00107922178258315</v>
      </c>
      <c r="CH7" s="40" t="n">
        <v>0.0131</v>
      </c>
      <c r="CI7" s="38" t="n">
        <f aca="false">IFERROR(__xludf.dummyfunction("FILTER(FILTER('Data Scenarios 1-2'!$A$2:$BX$105,'Data Scenarios 1-2'!$A$1:$BX$1=""P_OUT_PS3""),'Data Scenarios 1-2'!$B$2:$B$105=$A7,'Data Scenarios 1-2'!$C$2:$C$105=""All"",'Data Scenarios 1-2'!$D$2:$D$105=""Standard Deviation"")"),0.018577904438175)</f>
        <v>0.018577904438175</v>
      </c>
      <c r="CJ7" s="73" t="n">
        <f aca="false">SQRT(CG7^2*(2*AH7/AI7)^2+CH7^2*(AH7^2/AI7^2)^2)</f>
        <v>0.970641335544413</v>
      </c>
      <c r="CK7" s="44" t="n">
        <f aca="false">IFERROR(__xludf.dummyfunction("FILTER(FILTER('Data Scenarios 1-2'!$A$2:$BX$105,'Data Scenarios 1-2'!$A$1:$BX$1=""P_In""),'Data Scenarios 1-2'!$B$2:$B$105=$A7,'Data Scenarios 1-2'!$C$2:$C$105=""All"",'Data Scenarios 1-2'!$D$2:$D$105=""Standard Deviation"")"),1.03004426133466)</f>
        <v>1.03004426133466</v>
      </c>
      <c r="CL7" s="57" t="n">
        <f aca="false">IFERROR(__xludf.dummyfunction("FILTER(FILTER('Data Scenarios 1-2'!$A$2:$BX$105,'Data Scenarios 1-2'!$A$1:$BX$1=""P_Secondary""),'Data Scenarios 1-2'!$B$2:$B$105=$A7,'Data Scenarios 1-2'!$C$2:$C$105=""All"",'Data Scenarios 1-2'!$D$2:$D$105=""Standard Deviation"")"),0.591233217545757)</f>
        <v>0.591233217545757</v>
      </c>
      <c r="CM7" s="74" t="n">
        <f aca="false">IFERROR(__xludf.dummyfunction("FILTER(FILTER('Data Scenarios 1-2'!$A$2:$BX$105,'Data Scenarios 1-2'!$A$1:$BX$1=""P_Out""),'Data Scenarios 1-2'!$B$2:$B$105=$A7,'Data Scenarios 1-2'!$C$2:$C$105=""All"",'Data Scenarios 1-2'!$D$2:$D$105=""Standard Deviation"")"),0.225625562444678)</f>
        <v>0.225625562444678</v>
      </c>
      <c r="CN7" s="75" t="n">
        <f aca="false">SQRT(AX7^2+BC7^2+BH7^2+BM7^2+BR7^2+BW7^2+CB7^2+CF7^2+CJ7^2)</f>
        <v>1.10822070066358</v>
      </c>
      <c r="CO7" s="74" t="n">
        <f aca="false">IFERROR(__xludf.dummyfunction("FILTER(FILTER('Data Scenarios 1-2'!$A$2:$BX$105,'Data Scenarios 1-2'!$A$1:$BX$1=""P_TransformerLoss""),'Data Scenarios 1-2'!$B$2:$B$105=$A7,'Data Scenarios 1-2'!$C$2:$C$105=""All"",'Data Scenarios 1-2'!$D$2:$D$105=""Standard Deviation"")"),0.53934305755822)</f>
        <v>0.53934305755822</v>
      </c>
      <c r="CP7" s="65" t="n">
        <f aca="false">IFERROR(__xludf.dummyfunction("FILTER(FILTER('Data Scenarios 1-2'!$A$2:$BX$105,'Data Scenarios 1-2'!$A$1:$BX$1=""P_ConverterLoss""),'Data Scenarios 1-2'!$B$2:$B$105=$A7,'Data Scenarios 1-2'!$C$2:$C$105=""All"",'Data Scenarios 1-2'!$D$2:$D$105=""Standard Deviation"")"),0.480632615104859)</f>
        <v>0.480632615104859</v>
      </c>
      <c r="CQ7" s="75" t="n">
        <f aca="false">SQRT(CL7^2+MAX(CM7:CN7)^2)</f>
        <v>1.25606920148087</v>
      </c>
      <c r="CR7" s="65" t="n">
        <f aca="false">IFERROR(__xludf.dummyfunction("FILTER(FILTER('Data Scenarios 1-2'!$A$2:$BX$105,'Data Scenarios 1-2'!$A$1:$BX$1=""P_SystemLoss""),'Data Scenarios 1-2'!$B$2:$B$105=$A7,'Data Scenarios 1-2'!$C$2:$C$105=""All"",'Data Scenarios 1-2'!$D$2:$D$105=""Standard Deviation"")"),0.836173591179815)</f>
        <v>0.836173591179815</v>
      </c>
      <c r="CS7" s="75" t="n">
        <f aca="false">SQRT(CK7^2+MAX(CM7:CN7)^2)</f>
        <v>1.51299183794485</v>
      </c>
      <c r="CT7" s="63" t="n">
        <v>1887.94085918652</v>
      </c>
      <c r="CU7" s="64" t="n">
        <v>1749.92269207295</v>
      </c>
      <c r="CV7" s="64" t="n">
        <v>138.018167113561</v>
      </c>
      <c r="CW7" s="64" t="n">
        <v>220.829790072955</v>
      </c>
      <c r="CX7" s="64" t="n">
        <v>358.847957186516</v>
      </c>
      <c r="CY7" s="45" t="n">
        <f aca="false">CT7-AL7</f>
        <v>17.08074251986</v>
      </c>
      <c r="CZ7" s="41" t="n">
        <f aca="false">TINV(0.1,2)*CK7/SQRT(3)</f>
        <v>1.73650471284094</v>
      </c>
      <c r="DA7" s="66" t="n">
        <f aca="false">CY7/AL7</f>
        <v>0.00912988756759272</v>
      </c>
      <c r="DB7" s="67" t="n">
        <f aca="false">CZ7/AL7</f>
        <v>0.000928185222065078</v>
      </c>
      <c r="DC7" s="45" t="n">
        <f aca="false">CU7-AM7</f>
        <v>-0.311870149269907</v>
      </c>
      <c r="DD7" s="65" t="n">
        <f aca="false">TINV(0.1,2)*CL7/SQRT(3)</f>
        <v>0.996733157200469</v>
      </c>
      <c r="DE7" s="66" t="n">
        <f aca="false">DC7/AM7</f>
        <v>-0.000178187630390486</v>
      </c>
      <c r="DF7" s="67" t="n">
        <f aca="false">DD7/AM7</f>
        <v>0.000569485472812825</v>
      </c>
      <c r="DG7" s="45" t="n">
        <f aca="false">CV7-AP7</f>
        <v>17.392612669117</v>
      </c>
      <c r="DH7" s="65" t="n">
        <f aca="false">TINV(0.1,2)*CO7/SQRT(3)</f>
        <v>0.909253899511412</v>
      </c>
      <c r="DI7" s="66" t="n">
        <f aca="false">DG7/AP7</f>
        <v>0.14418679979728</v>
      </c>
      <c r="DJ7" s="66" t="n">
        <f aca="false">DH7/AP7</f>
        <v>0.00753782151467899</v>
      </c>
      <c r="DK7" s="45" t="n">
        <f aca="false">CW7-AR7</f>
        <v>0.0449573915924475</v>
      </c>
      <c r="DL7" s="65" t="n">
        <f aca="false">TINV(0.1,2)*CP7/SQRT(3)</f>
        <v>0.81027663820311</v>
      </c>
      <c r="DM7" s="66" t="n">
        <f aca="false">DK7/AR7</f>
        <v>0.000203625362514508</v>
      </c>
      <c r="DN7" s="67" t="n">
        <f aca="false">DL7/AR7</f>
        <v>0.00366998325185002</v>
      </c>
      <c r="DO7" s="45" t="n">
        <f aca="false">CX7-AT7</f>
        <v>17.4375700607134</v>
      </c>
      <c r="DP7" s="65" t="n">
        <f aca="false">TINV(0.1,2)*CR7/SQRT(3)</f>
        <v>1.40966697873299</v>
      </c>
      <c r="DQ7" s="66" t="n">
        <f aca="false">DO7/AT7</f>
        <v>0.0510751011634806</v>
      </c>
      <c r="DR7" s="66" t="n">
        <f aca="false">DP7/AT7</f>
        <v>0.00412895164262696</v>
      </c>
    </row>
    <row r="8" customFormat="false" ht="12.75" hidden="false" customHeight="false" outlineLevel="0" collapsed="false">
      <c r="A8" s="37" t="n">
        <v>2.1</v>
      </c>
      <c r="B8" s="38" t="n">
        <f aca="false">IFERROR(__xludf.dummyfunction("FILTER(FILTER('Data Scenarios 1-2'!$A$2:$BX$105,'Data Scenarios 1-2'!$A$1:$BX$1=""V_LAPTOP_3_OUTPUT""),'Data Scenarios 1-2'!$B$2:$B$105=$A8,'Data Scenarios 1-2'!$C$2:$C$105=""All"",'Data Scenarios 1-2'!$D$2:$D$105=""Mean"")"),18.9737882583333)</f>
        <v>18.9737882583333</v>
      </c>
      <c r="C8" s="38" t="n">
        <f aca="false">IFERROR(__xludf.dummyfunction("FILTER(FILTER('Data Scenarios 1-2'!$A$2:$BX$105,'Data Scenarios 1-2'!$A$1:$BX$1=""I_LAPTOP_3_OUTPUT""),'Data Scenarios 1-2'!$B$2:$B$105=$A8,'Data Scenarios 1-2'!$C$2:$C$105=""All"",'Data Scenarios 1-2'!$D$2:$D$105=""Mean"")"),0.00267493114104426)</f>
        <v>0.00267493114104426</v>
      </c>
      <c r="D8" s="3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1-2'!$D$2:$D$105=""Mean"")"),0.0507535699449832)</f>
        <v>0.0507535699449832</v>
      </c>
      <c r="E8" s="39" t="n">
        <v>0</v>
      </c>
      <c r="F8" s="38" t="n">
        <f aca="false">IFERROR(__xludf.dummyfunction("FILTER(FILTER('Data Scenarios 1-2'!$A$2:$BX$105,'Data Scenarios 1-2'!$A$1:$BX$1=""V_LAPTOP_4_OUTPUT""),'Data Scenarios 1-2'!$B$2:$B$105=$A8,'Data Scenarios 1-2'!$C$2:$C$105=""All"",'Data Scenarios 1-2'!$D$2:$D$105=""Mean"")"),18.6039349)</f>
        <v>18.6039349</v>
      </c>
      <c r="G8" s="38" t="n">
        <f aca="false">IFERROR(__xludf.dummyfunction("FILTER(FILTER('Data Scenarios 1-2'!$A$2:$BX$105,'Data Scenarios 1-2'!$A$1:$BX$1=""I_LAPTOP_4_OUTPUT""),'Data Scenarios 1-2'!$B$2:$B$105=$A8,'Data Scenarios 1-2'!$C$2:$C$105=""All"",'Data Scenarios 1-2'!$D$2:$D$105=""Mean"")"),0.00355868802747359)</f>
        <v>0.00355868802747359</v>
      </c>
      <c r="H8" s="38" t="n">
        <f aca="false">IFERROR(__xludf.dummyfunction("FILTER(FILTER('Data Scenarios 1-2'!$A$2:$BX$105,'Data Scenarios 1-2'!$A$1:$BX$1=""P_LAPTOP_4_OUTPUT""),'Data Scenarios 1-2'!$B$2:$B$105=$A8,'Data Scenarios 1-2'!$C$2:$C$105=""All"",'Data Scenarios 1-2'!$D$2:$D$105=""Mean"")"),0.0662055864436002)</f>
        <v>0.0662055864436002</v>
      </c>
      <c r="I8" s="39" t="n">
        <v>0</v>
      </c>
      <c r="J8" s="38" t="n">
        <f aca="false">IFERROR(__xludf.dummyfunction("FILTER(FILTER('Data Scenarios 1-2'!$A$2:$BX$105,'Data Scenarios 1-2'!$A$1:$BX$1=""V_LAPTOP_5_OUTPUT""),'Data Scenarios 1-2'!$B$2:$B$105=$A8,'Data Scenarios 1-2'!$C$2:$C$105=""All"",'Data Scenarios 1-2'!$D$2:$D$105=""Mean"")"),18.7022346083333)</f>
        <v>18.7022346083333</v>
      </c>
      <c r="K8" s="38" t="n">
        <f aca="false">IFERROR(__xludf.dummyfunction("FILTER(FILTER('Data Scenarios 1-2'!$A$2:$BX$105,'Data Scenarios 1-2'!$A$1:$BX$1=""I_LAPTOP_5_OUTPUT""),'Data Scenarios 1-2'!$B$2:$B$105=$A8,'Data Scenarios 1-2'!$C$2:$C$105=""All"",'Data Scenarios 1-2'!$D$2:$D$105=""Mean"")"),0.0103430930540841)</f>
        <v>0.0103430930540841</v>
      </c>
      <c r="L8" s="3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1-2'!$D$2:$D$105=""Mean"")"),0.19343895128889)</f>
        <v>0.19343895128889</v>
      </c>
      <c r="M8" s="39" t="n">
        <v>0</v>
      </c>
      <c r="N8" s="38" t="n">
        <f aca="false">IFERROR(__xludf.dummyfunction("FILTER(FILTER('Data Scenarios 1-2'!$A$2:$BX$105,'Data Scenarios 1-2'!$A$1:$BX$1=""V_LED_1""),'Data Scenarios 1-2'!$B$2:$B$105=$A8,'Data Scenarios 1-2'!$C$2:$C$105=""All"",'Data Scenarios 1-2'!$D$2:$D$105=""Mean"")"),24.2575938694444)</f>
        <v>24.2575938694444</v>
      </c>
      <c r="O8" s="38" t="n">
        <f aca="false">IFERROR(__xludf.dummyfunction("FILTER(FILTER('Data Scenarios 1-2'!$A$2:$BX$105,'Data Scenarios 1-2'!$A$1:$BX$1=""I_LED_1""),'Data Scenarios 1-2'!$B$2:$B$105=$A8,'Data Scenarios 1-2'!$C$2:$C$105=""All"",'Data Scenarios 1-2'!$D$2:$D$105=""Mean"")"),0.040437684531965)</f>
        <v>0.040437684531965</v>
      </c>
      <c r="P8" s="38" t="n">
        <f aca="false">IFERROR(__xludf.dummyfunction("FILTER(FILTER('Data Scenarios 1-2'!$A$2:$BX$105,'Data Scenarios 1-2'!$A$1:$BX$1=""P_LED_1""),'Data Scenarios 1-2'!$B$2:$B$105=$A8,'Data Scenarios 1-2'!$C$2:$C$105=""All"",'Data Scenarios 1-2'!$D$2:$D$105=""Mean"")"),0.980920718003964)</f>
        <v>0.980920718003964</v>
      </c>
      <c r="Q8" s="39" t="n">
        <v>0</v>
      </c>
      <c r="R8" s="38" t="n">
        <f aca="false">IFERROR(__xludf.dummyfunction("FILTER(FILTER('Data Scenarios 1-2'!$A$2:$BX$105,'Data Scenarios 1-2'!$A$1:$BX$1=""V_LED_2""),'Data Scenarios 1-2'!$B$2:$B$105=$A8,'Data Scenarios 1-2'!$C$2:$C$105=""All"",'Data Scenarios 1-2'!$D$2:$D$105=""Mean"")"),24.2108089972222)</f>
        <v>24.2108089972222</v>
      </c>
      <c r="S8" s="38" t="n">
        <f aca="false">IFERROR(__xludf.dummyfunction("FILTER(FILTER('Data Scenarios 1-2'!$A$2:$BX$105,'Data Scenarios 1-2'!$A$1:$BX$1=""I_LED_2""),'Data Scenarios 1-2'!$B$2:$B$105=$A8,'Data Scenarios 1-2'!$C$2:$C$105=""All"",'Data Scenarios 1-2'!$D$2:$D$105=""Mean"")"),0.0214753616716537)</f>
        <v>0.0214753616716537</v>
      </c>
      <c r="T8" s="38" t="n">
        <f aca="false">IFERROR(__xludf.dummyfunction("FILTER(FILTER('Data Scenarios 1-2'!$A$2:$BX$105,'Data Scenarios 1-2'!$A$1:$BX$1=""P_LED_2""),'Data Scenarios 1-2'!$B$2:$B$105=$A8,'Data Scenarios 1-2'!$C$2:$C$105=""All"",'Data Scenarios 1-2'!$D$2:$D$105=""Mean"")"),0.519935667479895)</f>
        <v>0.519935667479895</v>
      </c>
      <c r="U8" s="39" t="n">
        <v>0</v>
      </c>
      <c r="V8" s="38" t="n">
        <f aca="false">IFERROR(__xludf.dummyfunction("FILTER(FILTER('Data Scenarios 1-2'!$A$2:$BX$105,'Data Scenarios 1-2'!$A$1:$BX$1=""V_LED_3""),'Data Scenarios 1-2'!$B$2:$B$105=$A8,'Data Scenarios 1-2'!$C$2:$C$105=""All"",'Data Scenarios 1-2'!$D$2:$D$105=""Mean"")"),24.2048318916666)</f>
        <v>24.2048318916666</v>
      </c>
      <c r="W8" s="38" t="n">
        <f aca="false">IFERROR(__xludf.dummyfunction("FILTER(FILTER('Data Scenarios 1-2'!$A$2:$BX$105,'Data Scenarios 1-2'!$A$1:$BX$1=""I_LED_3""),'Data Scenarios 1-2'!$B$2:$B$105=$A8,'Data Scenarios 1-2'!$C$2:$C$105=""All"",'Data Scenarios 1-2'!$D$2:$D$105=""Mean"")"),0.0412817567354855)</f>
        <v>0.0412817567354855</v>
      </c>
      <c r="X8" s="38" t="n">
        <f aca="false">IFERROR(__xludf.dummyfunction("FILTER(FILTER('Data Scenarios 1-2'!$A$2:$BX$105,'Data Scenarios 1-2'!$A$1:$BX$1=""P_LED_3""),'Data Scenarios 1-2'!$B$2:$B$105=$A8,'Data Scenarios 1-2'!$C$2:$C$105=""All"",'Data Scenarios 1-2'!$D$2:$D$105=""Mean"")"),0.9992180997691)</f>
        <v>0.9992180997691</v>
      </c>
      <c r="Y8" s="39" t="n">
        <v>0</v>
      </c>
      <c r="Z8" s="38" t="n">
        <f aca="false">IFERROR(__xludf.dummyfunction("FILTER(FILTER('Data Scenarios 1-2'!$A$2:$BX$105,'Data Scenarios 1-2'!$A$1:$BX$1=""V_OUT_PS1""),'Data Scenarios 1-2'!$B$2:$B$105=$A8,'Data Scenarios 1-2'!$C$2:$C$105=""All"",'Data Scenarios 1-2'!$D$2:$D$105=""Mean"")"),48.1922598916666)</f>
        <v>48.1922598916666</v>
      </c>
      <c r="AA8" s="40"/>
      <c r="AB8" s="41" t="n">
        <f aca="false">IFERROR(__xludf.dummyfunction("FILTER(FILTER('Data Scenarios 1-2'!$A$2:$BX$105,'Data Scenarios 1-2'!$A$1:$BX$1=""P_OUT_PS1""),'Data Scenarios 1-2'!$B$2:$B$105=$A8,'Data Scenarios 1-2'!$C$2:$C$105=""All"",'Data Scenarios 1-2'!$D$2:$D$105=""Mean"")"),2.58054879276636E-016)</f>
        <v>2.58054879276636E-016</v>
      </c>
      <c r="AC8" s="42" t="n">
        <v>0</v>
      </c>
      <c r="AD8" s="38" t="n">
        <f aca="false">IFERROR(__xludf.dummyfunction("FILTER(FILTER('Data Scenarios 1-2'!$A$2:$BX$105,'Data Scenarios 1-2'!$A$1:$BX$1=""V_OUT_PS2""),'Data Scenarios 1-2'!$B$2:$B$105=$A8,'Data Scenarios 1-2'!$C$2:$C$105=""All"",'Data Scenarios 1-2'!$D$2:$D$105=""Mean"")"),48.5527052361111)</f>
        <v>48.5527052361111</v>
      </c>
      <c r="AE8" s="40"/>
      <c r="AF8" s="41" t="n">
        <f aca="false">IFERROR(__xludf.dummyfunction("FILTER(FILTER('Data Scenarios 1-2'!$A$2:$BX$105,'Data Scenarios 1-2'!$A$1:$BX$1=""P_OUT_PS2""),'Data Scenarios 1-2'!$B$2:$B$105=$A8,'Data Scenarios 1-2'!$C$2:$C$105=""All"",'Data Scenarios 1-2'!$D$2:$D$105=""Mean"")"),2.61929465123014E-016)</f>
        <v>2.61929465123014E-016</v>
      </c>
      <c r="AG8" s="42" t="n">
        <v>0</v>
      </c>
      <c r="AH8" s="38" t="n">
        <f aca="false">IFERROR(__xludf.dummyfunction("FILTER(FILTER('Data Scenarios 1-2'!$A$2:$BX$105,'Data Scenarios 1-2'!$A$1:$BX$1=""V_OUT_PS3""),'Data Scenarios 1-2'!$B$2:$B$105=$A8,'Data Scenarios 1-2'!$C$2:$C$105=""All"",'Data Scenarios 1-2'!$D$2:$D$105=""Mean"")"),48.1919934416666)</f>
        <v>48.1919934416666</v>
      </c>
      <c r="AI8" s="40"/>
      <c r="AJ8" s="41" t="n">
        <f aca="false">IFERROR(__xludf.dummyfunction("FILTER(FILTER('Data Scenarios 1-2'!$A$2:$BX$105,'Data Scenarios 1-2'!$A$1:$BX$1=""P_OUT_PS3""),'Data Scenarios 1-2'!$B$2:$B$105=$A8,'Data Scenarios 1-2'!$C$2:$C$105=""All"",'Data Scenarios 1-2'!$D$2:$D$105=""Mean"")"),2.58052025821066E-016)</f>
        <v>2.58052025821066E-016</v>
      </c>
      <c r="AK8" s="43" t="n">
        <v>0</v>
      </c>
      <c r="AL8" s="44" t="n">
        <f aca="false">IFERROR(__xludf.dummyfunction("FILTER(FILTER('Data Scenarios 1-2'!$A$2:$BX$105,'Data Scenarios 1-2'!$A$1:$BX$1=""P_In""),'Data Scenarios 1-2'!$B$2:$B$105=$A8,'Data Scenarios 1-2'!$C$2:$C$105=""All"",'Data Scenarios 1-2'!$D$2:$D$105=""Mean"")"),101.598264777777)</f>
        <v>101.598264777777</v>
      </c>
      <c r="AM8" s="44" t="n">
        <f aca="false">IFERROR(__xludf.dummyfunction("FILTER(FILTER('Data Scenarios 1-2'!$A$2:$BX$105,'Data Scenarios 1-2'!$A$1:$BX$1=""P_Secondary""),'Data Scenarios 1-2'!$B$2:$B$105=$A8,'Data Scenarios 1-2'!$C$2:$C$105=""All"",'Data Scenarios 1-2'!$D$2:$D$105=""Mean"")"),50.2956537333333)</f>
        <v>50.2956537333333</v>
      </c>
      <c r="AN8" s="45" t="n">
        <f aca="false">IFERROR(__xludf.dummyfunction("FILTER(FILTER('Data Scenarios 1-2'!$A$2:$BX$105,'Data Scenarios 1-2'!$A$1:$BX$1=""P_Out""),'Data Scenarios 1-2'!$B$2:$B$105=$A8,'Data Scenarios 1-2'!$C$2:$C$105=""All"",'Data Scenarios 1-2'!$D$2:$D$105=""Mean"")"),2.81047259293043)</f>
        <v>2.81047259293043</v>
      </c>
      <c r="AO8" s="46" t="n">
        <f aca="false">E8+I8+M8+Q8+U8+Y8+AC8+AG8+AK8</f>
        <v>0</v>
      </c>
      <c r="AP8" s="45" t="n">
        <f aca="false">IFERROR(__xludf.dummyfunction("FILTER(FILTER('Data Scenarios 1-2'!$A$2:$BX$105,'Data Scenarios 1-2'!$A$1:$BX$1=""P_TransformerLoss""),'Data Scenarios 1-2'!$B$2:$B$105=$A8,'Data Scenarios 1-2'!$C$2:$C$105=""All"",'Data Scenarios 1-2'!$D$2:$D$105=""Mean"")"),51.3026110444444)</f>
        <v>51.3026110444444</v>
      </c>
      <c r="AQ8" s="41" t="n">
        <f aca="false">IFERROR(__xludf.dummyfunction("FILTER(FILTER('Data Scenarios 1-2'!$A$2:$BX$105,'Data Scenarios 1-2'!$A$1:$BX$1=""P_ConverterLoss""),'Data Scenarios 1-2'!$B$2:$B$105=$A8,'Data Scenarios 1-2'!$C$2:$C$105=""All"",'Data Scenarios 1-2'!$D$2:$D$105=""Mean"")"),47.4851811404029)</f>
        <v>47.4851811404029</v>
      </c>
      <c r="AR8" s="46" t="n">
        <f aca="false">AM8-AO8</f>
        <v>50.2956537333333</v>
      </c>
      <c r="AS8" s="41" t="n">
        <f aca="false">IFERROR(__xludf.dummyfunction("FILTER(FILTER('Data Scenarios 1-2'!$A$2:$BX$105,'Data Scenarios 1-2'!$A$1:$BX$1=""P_SystemLoss""),'Data Scenarios 1-2'!$B$2:$B$105=$A8,'Data Scenarios 1-2'!$C$2:$C$105=""All"",'Data Scenarios 1-2'!$D$2:$D$105=""Mean"")"),98.7877921848473)</f>
        <v>98.7877921848473</v>
      </c>
      <c r="AT8" s="46" t="n">
        <f aca="false">AL8-AO8</f>
        <v>101.598264777777</v>
      </c>
      <c r="AU8" s="47" t="n">
        <f aca="false">IFERROR(__xludf.dummyfunction("FILTER(FILTER('Data Scenarios 1-2'!$A$2:$BX$105,'Data Scenarios 1-2'!$A$1:$BX$1=""V_LAPTOP_3_OUTPUT""),'Data Scenarios 1-2'!$B$2:$B$105=$A8,'Data Scenarios 1-2'!$C$2:$C$105=""All"",'Data Scenarios 1-2'!$D$2:$D$105=""Standard Deviation"")"),0.00189114469716796)</f>
        <v>0.00189114469716796</v>
      </c>
      <c r="AV8" s="70" t="n">
        <f aca="false">IFERROR(__xludf.dummyfunction("FILTER(FILTER('Data Scenarios 1-2'!$A$2:$BX$105,'Data Scenarios 1-2'!$A$1:$BX$1=""I_LAPTOP_3_OUTPUT""),'Data Scenarios 1-2'!$B$2:$B$105=$A8,'Data Scenarios 1-2'!$C$2:$C$105=""All"",'Data Scenarios 1-2'!$D$2:$D$105=""Standard Deviation"")"),0.0000104064619312338)</f>
        <v>1.04064619312338E-005</v>
      </c>
      <c r="AW8" s="81" t="n">
        <f aca="false">IFERROR(__xludf.dummyfunction("FILTER(FILTER('Data Scenarios 1-2'!$A$2:$BX$105,'Data Scenarios 1-2'!$A$1:$BX$1=""V_LAPTOP_3_OUTPUT * I_LAPTOP_3_OUTPUT""),'Data Scenarios 1-2'!$B$2:$B$105=$A8,'Data Scenarios 1-2'!$C$2:$C$105=""All"",'Data Scenarios 1-2'!$D$2:$D$105=""Covariance"")"),-0.00000000213234753461702)</f>
        <v>-2.13234753461702E-009</v>
      </c>
      <c r="AX8" s="48" t="n">
        <f aca="false">IFERROR(__xludf.dummyfunction("FILTER(FILTER('Data Scenarios 1-2'!$A$2:$BX$105,'Data Scenarios 1-2'!$A$1:$BX$1=""P_LAPTOP_3_OUTPUT""),'Data Scenarios 1-2'!$B$2:$B$105=$A8,'Data Scenarios 1-2'!$C$2:$C$105=""All"",'Data Scenarios 1-2'!$D$2:$D$105=""Standard Deviation"")"),0.000196964589126549)</f>
        <v>0.000196964589126549</v>
      </c>
      <c r="AY8" s="53" t="n">
        <f aca="false">ABS(E8)*SQRT((AU8/B8)^2+(AV8/C8)^2+2*AW8/(B8*C8))</f>
        <v>0</v>
      </c>
      <c r="AZ8" s="47" t="n">
        <f aca="false">IFERROR(__xludf.dummyfunction("FILTER(FILTER('Data Scenarios 1-2'!$A$2:$BX$105,'Data Scenarios 1-2'!$A$1:$BX$1=""V_LAPTOP_4_OUTPUT""),'Data Scenarios 1-2'!$B$2:$B$105=$A8,'Data Scenarios 1-2'!$C$2:$C$105=""All"",'Data Scenarios 1-2'!$D$2:$D$105=""Standard Deviation"")"),0.00119019628365002)</f>
        <v>0.00119019628365002</v>
      </c>
      <c r="BA8" s="70" t="n">
        <f aca="false">IFERROR(__xludf.dummyfunction("FILTER(FILTER('Data Scenarios 1-2'!$A$2:$BX$105,'Data Scenarios 1-2'!$A$1:$BX$1=""I_LAPTOP_4_OUTPUT""),'Data Scenarios 1-2'!$B$2:$B$105=$A8,'Data Scenarios 1-2'!$C$2:$C$105=""All"",'Data Scenarios 1-2'!$D$2:$D$105=""Standard Deviation"")"),0.000065164087213855)</f>
        <v>6.5164087213855E-005</v>
      </c>
      <c r="BB8" s="52" t="n">
        <f aca="false">IFERROR(__xludf.dummyfunction("FILTER(FILTER('Data Scenarios 1-2'!$A$2:$BX$105,'Data Scenarios 1-2'!$A$1:$BX$1=""V_LAPTOP_4_OUTPUT * I_LAPTOP_4_OUTPUT""),'Data Scenarios 1-2'!$B$2:$B$105=$A8,'Data Scenarios 1-2'!$C$2:$C$105=""All"",'Data Scenarios 1-2'!$D$2:$D$105=""Covariance"")"),-0.000000019463127876287)</f>
        <v>-1.9463127876287E-008</v>
      </c>
      <c r="BC8" s="50" t="n">
        <f aca="false">IFERROR(__xludf.dummyfunction("FILTER(FILTER('Data Scenarios 1-2'!$A$2:$BX$105,'Data Scenarios 1-2'!$A$1:$BX$1=""P_LAPTOP_4_OUTPUT""),'Data Scenarios 1-2'!$B$2:$B$105=$A8,'Data Scenarios 1-2'!$C$2:$C$105=""All"",'Data Scenarios 1-2'!$D$2:$D$105=""Standard Deviation"")"),0.00121126023984815)</f>
        <v>0.00121126023984815</v>
      </c>
      <c r="BD8" s="51" t="n">
        <f aca="false">ABS(I8)*SQRT((AZ8/F8)^2+(BA8/G8)^2+2*BB8/(F8*G8))</f>
        <v>0</v>
      </c>
      <c r="BE8" s="47" t="n">
        <f aca="false">IFERROR(__xludf.dummyfunction("FILTER(FILTER('Data Scenarios 1-2'!$A$2:$BX$105,'Data Scenarios 1-2'!$A$1:$BX$1=""V_LAPTOP_5_OUTPUT""),'Data Scenarios 1-2'!$B$2:$B$105=$A8,'Data Scenarios 1-2'!$C$2:$C$105=""All"",'Data Scenarios 1-2'!$D$2:$D$105=""Standard Deviation"")"),0.00039309042384535)</f>
        <v>0.00039309042384535</v>
      </c>
      <c r="BF8" s="70" t="n">
        <f aca="false">IFERROR(__xludf.dummyfunction("FILTER(FILTER('Data Scenarios 1-2'!$A$2:$BX$105,'Data Scenarios 1-2'!$A$1:$BX$1=""I_LAPTOP_5_OUTPUT""),'Data Scenarios 1-2'!$B$2:$B$105=$A8,'Data Scenarios 1-2'!$C$2:$C$105=""All"",'Data Scenarios 1-2'!$D$2:$D$105=""Standard Deviation"")"),0.0000115314753952142)</f>
        <v>1.15314753952142E-005</v>
      </c>
      <c r="BG8" s="81" t="n">
        <f aca="false">IFERROR(__xludf.dummyfunction("FILTER(FILTER('Data Scenarios 1-2'!$A$2:$BX$105,'Data Scenarios 1-2'!$A$1:$BX$1=""V_LAPTOP_5_OUTPUT * I_LAPTOP_5_OUTPUT""),'Data Scenarios 1-2'!$B$2:$B$105=$A8,'Data Scenarios 1-2'!$C$2:$C$105=""All"",'Data Scenarios 1-2'!$D$2:$D$105=""Covariance"")"),-0.00000000194946557102508)</f>
        <v>-1.94946557102508E-009</v>
      </c>
      <c r="BH8" s="48" t="n">
        <f aca="false">IFERROR(__xludf.dummyfunction("FILTER(FILTER('Data Scenarios 1-2'!$A$2:$BX$105,'Data Scenarios 1-2'!$A$1:$BX$1=""P_LAPTOP_5_OUTPUT""),'Data Scenarios 1-2'!$B$2:$B$105=$A8,'Data Scenarios 1-2'!$C$2:$C$105=""All"",'Data Scenarios 1-2'!$D$2:$D$105=""Standard Deviation"")"),0.000213950133090504)</f>
        <v>0.000213950133090504</v>
      </c>
      <c r="BI8" s="53" t="n">
        <f aca="false">ABS(M8)*SQRT((BE8/J8)^2+(BF8/K8)^2+2*BG8/(J8*K8))</f>
        <v>0</v>
      </c>
      <c r="BJ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K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L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M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N8" s="51" t="n">
        <f aca="false">ABS(Q8)*SQRT((BJ8/N8)^2+(BK8/O8)^2+2*BL8/(N8*O8))</f>
        <v>0</v>
      </c>
      <c r="BO8" s="47" t="n">
        <f aca="false">IFERROR(__xludf.dummyfunction("FILTER(FILTER('Data Scenarios 1-2'!$A$2:$BX$105,'Data Scenarios 1-2'!$A$1:$BX$1=""V_LED_2""),'Data Scenarios 1-2'!$B$2:$B$105=$A8,'Data Scenarios 1-2'!$C$2:$C$105=""All"",'Data Scenarios 1-2'!$D$2:$D$105=""Standard Deviation"")"),0.00301417508519089)</f>
        <v>0.00301417508519089</v>
      </c>
      <c r="BP8" s="48" t="n">
        <f aca="false">IFERROR(__xludf.dummyfunction("FILTER(FILTER('Data Scenarios 1-2'!$A$2:$BX$105,'Data Scenarios 1-2'!$A$1:$BX$1=""I_LED_2""),'Data Scenarios 1-2'!$B$2:$B$105=$A8,'Data Scenarios 1-2'!$C$2:$C$105=""All"",'Data Scenarios 1-2'!$D$2:$D$105=""Standard Deviation"")"),0.000170472727801563)</f>
        <v>0.000170472727801563</v>
      </c>
      <c r="BQ8" s="49" t="n">
        <f aca="false">IFERROR(__xludf.dummyfunction("FILTER(FILTER('Data Scenarios 1-2'!$A$2:$BX$105,'Data Scenarios 1-2'!$A$1:$BX$1=""V_LED_2 * I_LED_2""),'Data Scenarios 1-2'!$B$2:$B$105=$A8,'Data Scenarios 1-2'!$C$2:$C$105=""All"",'Data Scenarios 1-2'!$D$2:$D$105=""Covariance"")"),-0.000000261108450182011)</f>
        <v>-2.61108450182011E-007</v>
      </c>
      <c r="BR8" s="50" t="n">
        <f aca="false">IFERROR(__xludf.dummyfunction("FILTER(FILTER('Data Scenarios 1-2'!$A$2:$BX$105,'Data Scenarios 1-2'!$A$1:$BX$1=""P_LED_2""),'Data Scenarios 1-2'!$B$2:$B$105=$A8,'Data Scenarios 1-2'!$C$2:$C$105=""All"",'Data Scenarios 1-2'!$D$2:$D$105=""Standard Deviation"")"),0.00409457918211778)</f>
        <v>0.00409457918211778</v>
      </c>
      <c r="BS8" s="51" t="n">
        <f aca="false">ABS(U8)*SQRT((BO8/R8)^2+(BP8/S8)^2+2*BQ8/(R8*S8))</f>
        <v>0</v>
      </c>
      <c r="BT8" s="47" t="n">
        <f aca="false">IFERROR(__xludf.dummyfunction("FILTER(FILTER('Data Scenarios 1-2'!$A$2:$BX$105,'Data Scenarios 1-2'!$A$1:$BX$1=""V_LED_1""),'Data Scenarios 1-2'!$B$2:$B$105=$A8,'Data Scenarios 1-2'!$C$2:$C$105=""All"",'Data Scenarios 1-2'!$D$2:$D$105=""Standard Deviation"")"),0.00231620658897289)</f>
        <v>0.00231620658897289</v>
      </c>
      <c r="BU8" s="48" t="n">
        <f aca="false">IFERROR(__xludf.dummyfunction("FILTER(FILTER('Data Scenarios 1-2'!$A$2:$BX$105,'Data Scenarios 1-2'!$A$1:$BX$1=""I_LED_1""),'Data Scenarios 1-2'!$B$2:$B$105=$A8,'Data Scenarios 1-2'!$C$2:$C$105=""All"",'Data Scenarios 1-2'!$D$2:$D$105=""Standard Deviation"")"),0.000175870652754177)</f>
        <v>0.000175870652754177</v>
      </c>
      <c r="BV8" s="49" t="n">
        <f aca="false">IFERROR(__xludf.dummyfunction("FILTER(FILTER('Data Scenarios 1-2'!$A$2:$BX$105,'Data Scenarios 1-2'!$A$1:$BX$1=""V_LED_1 * I_LED_1""),'Data Scenarios 1-2'!$B$2:$B$105=$A8,'Data Scenarios 1-2'!$C$2:$C$105=""All"",'Data Scenarios 1-2'!$D$2:$D$105=""Covariance"")"),-0.000000308204134234144)</f>
        <v>-3.08204134234144E-007</v>
      </c>
      <c r="BW8" s="50" t="n">
        <f aca="false">IFERROR(__xludf.dummyfunction("FILTER(FILTER('Data Scenarios 1-2'!$A$2:$BX$105,'Data Scenarios 1-2'!$A$1:$BX$1=""P_LED_1""),'Data Scenarios 1-2'!$B$2:$B$105=$A8,'Data Scenarios 1-2'!$C$2:$C$105=""All"",'Data Scenarios 1-2'!$D$2:$D$105=""Standard Deviation"")"),0.00419600866482117)</f>
        <v>0.00419600866482117</v>
      </c>
      <c r="BX8" s="51" t="n">
        <f aca="false">ABS(Y8)*SQRT((BT8/V8)^2+(BU8/W8)^2+2*BV8/(V8*W8))</f>
        <v>0</v>
      </c>
      <c r="BY8" s="54" t="n">
        <f aca="false">IFERROR(__xludf.dummyfunction("FILTER(FILTER('Data Scenarios 1-2'!$A$2:$BX$105,'Data Scenarios 1-2'!$A$1:$BX$1=""V_OUT_PS1""),'Data Scenarios 1-2'!$B$2:$B$105=$A8,'Data Scenarios 1-2'!$C$2:$C$105=""All"",'Data Scenarios 1-2'!$D$2:$D$105=""Standard Deviation"")"),0.000104110729315161)</f>
        <v>0.000104110729315161</v>
      </c>
      <c r="BZ8" s="82" t="n">
        <v>0</v>
      </c>
      <c r="CA8" s="38" t="n">
        <f aca="false">IFERROR(__xludf.dummyfunction("FILTER(FILTER('Data Scenarios 1-2'!$A$2:$BX$105,'Data Scenarios 1-2'!$A$1:$BX$1=""P_OUT_PS1""),'Data Scenarios 1-2'!$B$2:$B$105=$A8,'Data Scenarios 1-2'!$C$2:$C$105=""All"",'Data Scenarios 1-2'!$D$2:$D$105=""Standard Deviation"")"),1.11496285700457E-021)</f>
        <v>1.11496285700457E-021</v>
      </c>
      <c r="CB8" s="56" t="n">
        <v>0</v>
      </c>
      <c r="CC8" s="54" t="n">
        <f aca="false">IFERROR(__xludf.dummyfunction("FILTER(FILTER('Data Scenarios 1-2'!$A$2:$BX$105,'Data Scenarios 1-2'!$A$1:$BX$1=""V_OUT_PS2""),'Data Scenarios 1-2'!$B$2:$B$105=$A8,'Data Scenarios 1-2'!$C$2:$C$105=""All"",'Data Scenarios 1-2'!$D$2:$D$105=""Standard Deviation"")"),0.000305605600076419)</f>
        <v>0.000305605600076419</v>
      </c>
      <c r="CD8" s="55" t="n">
        <v>0</v>
      </c>
      <c r="CE8" s="38" t="n">
        <f aca="false">IFERROR(__xludf.dummyfunction("FILTER(FILTER('Data Scenarios 1-2'!$A$2:$BX$105,'Data Scenarios 1-2'!$A$1:$BX$1=""P_OUT_PS2""),'Data Scenarios 1-2'!$B$2:$B$105=$A8,'Data Scenarios 1-2'!$C$2:$C$105=""All"",'Data Scenarios 1-2'!$D$2:$D$105=""Standard Deviation"")"),3.29732413023841E-021)</f>
        <v>3.29732413023841E-021</v>
      </c>
      <c r="CF8" s="56" t="n">
        <v>0</v>
      </c>
      <c r="CG8" s="54" t="n">
        <f aca="false">IFERROR(__xludf.dummyfunction("FILTER(FILTER('Data Scenarios 1-2'!$A$2:$BX$105,'Data Scenarios 1-2'!$A$1:$BX$1=""V_OUT_PS3""),'Data Scenarios 1-2'!$B$2:$B$105=$A8,'Data Scenarios 1-2'!$C$2:$C$105=""All"",'Data Scenarios 1-2'!$D$2:$D$105=""Standard Deviation"")"),0.000817855670462284)</f>
        <v>0.000817855670462284</v>
      </c>
      <c r="CH8" s="55" t="n">
        <v>0</v>
      </c>
      <c r="CI8" s="38" t="n">
        <f aca="false">IFERROR(__xludf.dummyfunction("FILTER(FILTER('Data Scenarios 1-2'!$A$2:$BX$105,'Data Scenarios 1-2'!$A$1:$BX$1=""P_OUT_PS3""),'Data Scenarios 1-2'!$B$2:$B$105=$A8,'Data Scenarios 1-2'!$C$2:$C$105=""All"",'Data Scenarios 1-2'!$D$2:$D$105=""Standard Deviation"")"),8.75866455394135E-021)</f>
        <v>8.75866455394135E-021</v>
      </c>
      <c r="CJ8" s="56" t="n">
        <v>0</v>
      </c>
      <c r="CK8" s="57" t="n">
        <f aca="false">IFERROR(__xludf.dummyfunction("FILTER(FILTER('Data Scenarios 1-2'!$A$2:$BX$105,'Data Scenarios 1-2'!$A$1:$BX$1=""P_In""),'Data Scenarios 1-2'!$B$2:$B$105=$A8,'Data Scenarios 1-2'!$C$2:$C$105=""All"",'Data Scenarios 1-2'!$D$2:$D$105=""Standard Deviation"")"),0.102547986675422)</f>
        <v>0.102547986675422</v>
      </c>
      <c r="CL8" s="58" t="n">
        <f aca="false">IFERROR(__xludf.dummyfunction("FILTER(FILTER('Data Scenarios 1-2'!$A$2:$BX$105,'Data Scenarios 1-2'!$A$1:$BX$1=""P_Secondary""),'Data Scenarios 1-2'!$B$2:$B$105=$A8,'Data Scenarios 1-2'!$C$2:$C$105=""All"",'Data Scenarios 1-2'!$D$2:$D$105=""Standard Deviation"")"),0.0115946968047931)</f>
        <v>0.0115946968047931</v>
      </c>
      <c r="CM8" s="47" t="n">
        <f aca="false">IFERROR(__xludf.dummyfunction("FILTER(FILTER('Data Scenarios 1-2'!$A$2:$BX$105,'Data Scenarios 1-2'!$A$1:$BX$1=""P_Out""),'Data Scenarios 1-2'!$B$2:$B$105=$A8,'Data Scenarios 1-2'!$C$2:$C$105=""All"",'Data Scenarios 1-2'!$D$2:$D$105=""Standard Deviation"")"),0.00404945695654975)</f>
        <v>0.00404945695654975</v>
      </c>
      <c r="CN8" s="60" t="n">
        <f aca="false">SQRT(AX8^2+BC8^2+BH8^2+BM8^2+BR8^2+BW8^2+CB8^2+CF8^2+CJ8^2)</f>
        <v>0.007316438832287</v>
      </c>
      <c r="CO8" s="74" t="n">
        <f aca="false">IFERROR(__xludf.dummyfunction("FILTER(FILTER('Data Scenarios 1-2'!$A$2:$BX$105,'Data Scenarios 1-2'!$A$1:$BX$1=""P_TransformerLoss""),'Data Scenarios 1-2'!$B$2:$B$105=$A8,'Data Scenarios 1-2'!$C$2:$C$105=""All"",'Data Scenarios 1-2'!$D$2:$D$105=""Standard Deviation"")"),0.113995680112102)</f>
        <v>0.113995680112102</v>
      </c>
      <c r="CP8" s="38" t="n">
        <f aca="false">IFERROR(__xludf.dummyfunction("FILTER(FILTER('Data Scenarios 1-2'!$A$2:$BX$105,'Data Scenarios 1-2'!$A$1:$BX$1=""P_ConverterLoss""),'Data Scenarios 1-2'!$B$2:$B$105=$A8,'Data Scenarios 1-2'!$C$2:$C$105=""All"",'Data Scenarios 1-2'!$D$2:$D$105=""Standard Deviation"")"),0.0155686258453084)</f>
        <v>0.0155686258453084</v>
      </c>
      <c r="CQ8" s="61" t="n">
        <f aca="false">SQRT(CL8^2+MAX(CM8:CN8)^2)</f>
        <v>0.0137101156516521</v>
      </c>
      <c r="CR8" s="65" t="n">
        <f aca="false">IFERROR(__xludf.dummyfunction("FILTER(FILTER('Data Scenarios 1-2'!$A$2:$BX$105,'Data Scenarios 1-2'!$A$1:$BX$1=""P_SystemLoss""),'Data Scenarios 1-2'!$B$2:$B$105=$A8,'Data Scenarios 1-2'!$C$2:$C$105=""All"",'Data Scenarios 1-2'!$D$2:$D$105=""Standard Deviation"")"),0.0985052334820432)</f>
        <v>0.0985052334820432</v>
      </c>
      <c r="CS8" s="62" t="n">
        <f aca="false">SQRT(CK8^2+MAX(CM8:CN8)^2)</f>
        <v>0.102808656485576</v>
      </c>
      <c r="CT8" s="63" t="n">
        <v>99.2241061197911</v>
      </c>
      <c r="CU8" s="64" t="n">
        <v>51.3339971393815</v>
      </c>
      <c r="CV8" s="64" t="n">
        <v>47.8901089804096</v>
      </c>
      <c r="CW8" s="64" t="n">
        <v>51.2439971393815</v>
      </c>
      <c r="CX8" s="64" t="n">
        <v>99.1341061197911</v>
      </c>
      <c r="CY8" s="45" t="n">
        <f aca="false">CT8-AL8</f>
        <v>-2.3741586579859</v>
      </c>
      <c r="CZ8" s="65" t="n">
        <f aca="false">TINV(0.1,2)*CK8/SQRT(3)</f>
        <v>0.172880980787644</v>
      </c>
      <c r="DA8" s="66" t="n">
        <f aca="false">CY8/AL8</f>
        <v>-0.0233681024294936</v>
      </c>
      <c r="DB8" s="67" t="n">
        <f aca="false">CZ8/AL8</f>
        <v>0.00170161351835862</v>
      </c>
      <c r="DC8" s="45" t="n">
        <f aca="false">CU8-AM8</f>
        <v>1.0383434060482</v>
      </c>
      <c r="DD8" s="65" t="n">
        <f aca="false">TINV(0.1,2)*CL8/SQRT(3)</f>
        <v>0.0195469713305295</v>
      </c>
      <c r="DE8" s="66" t="n">
        <f aca="false">DC8/AM8</f>
        <v>0.020644793913078</v>
      </c>
      <c r="DF8" s="67" t="n">
        <f aca="false">DD8/AM8</f>
        <v>0.000388641361223122</v>
      </c>
      <c r="DG8" s="45" t="n">
        <f aca="false">CV8-AP8</f>
        <v>-3.4125020640348</v>
      </c>
      <c r="DH8" s="65" t="n">
        <f aca="false">TINV(0.1,2)*CO8/SQRT(3)</f>
        <v>0.19218012583428</v>
      </c>
      <c r="DI8" s="66" t="n">
        <f aca="false">DG8/AP8</f>
        <v>-0.066517122512117</v>
      </c>
      <c r="DJ8" s="66" t="n">
        <f aca="false">DH8/AP8</f>
        <v>0.003746010620547</v>
      </c>
      <c r="DK8" s="45" t="n">
        <f aca="false">CW8-AR8</f>
        <v>0.948343406048195</v>
      </c>
      <c r="DL8" s="65" t="n">
        <f aca="false">TINV(0.1,2)*CP8/SQRT(3)</f>
        <v>0.0262464373305718</v>
      </c>
      <c r="DM8" s="66" t="n">
        <f aca="false">DK8/AR8</f>
        <v>0.0188553748814221</v>
      </c>
      <c r="DN8" s="67" t="n">
        <f aca="false">DL8/AR8</f>
        <v>0.000521843049694313</v>
      </c>
      <c r="DO8" s="45" t="n">
        <f aca="false">CX8-AT8</f>
        <v>-2.46415865798591</v>
      </c>
      <c r="DP8" s="65" t="n">
        <f aca="false">TINV(0.1,2)*CR8/SQRT(3)</f>
        <v>0.166065487282483</v>
      </c>
      <c r="DQ8" s="66" t="n">
        <f aca="false">DO8/AT8</f>
        <v>-0.0242539443304046</v>
      </c>
      <c r="DR8" s="66" t="n">
        <f aca="false">DP8/AT8</f>
        <v>0.00163453074366686</v>
      </c>
    </row>
    <row r="9" customFormat="false" ht="12.75" hidden="false" customHeight="false" outlineLevel="0" collapsed="false">
      <c r="A9" s="37" t="n">
        <v>2.2</v>
      </c>
      <c r="B9" s="38" t="n">
        <f aca="false">IFERROR(__xludf.dummyfunction("FILTER(FILTER('Data Scenarios 1-2'!$A$2:$BX$105,'Data Scenarios 1-2'!$A$1:$BX$1=""V_LAPTOP_3_OUTPUT""),'Data Scenarios 1-2'!$B$2:$B$105=$A9,'Data Scenarios 1-2'!$C$2:$C$105=""All"",'Data Scenarios 1-2'!$D$2:$D$105=""Mean"")"),18.2988725277777)</f>
        <v>18.2988725277777</v>
      </c>
      <c r="C9" s="65" t="n">
        <f aca="false">IFERROR(__xludf.dummyfunction("FILTER(FILTER('Data Scenarios 1-2'!$A$2:$BX$105,'Data Scenarios 1-2'!$A$1:$BX$1=""I_LAPTOP_3_OUTPUT""),'Data Scenarios 1-2'!$B$2:$B$105=$A9,'Data Scenarios 1-2'!$C$2:$C$105=""All"",'Data Scenarios 1-2'!$D$2:$D$105=""Mean"")"),3.9717416784196)</f>
        <v>3.9717416784196</v>
      </c>
      <c r="D9" s="65" t="n">
        <f aca="false">IFERROR(__xludf.dummyfunction("FILTER(FILTER('Data Scenarios 1-2'!$A$2:$BX$105,'Data Scenarios 1-2'!$A$1:$BX$1=""P_LAPTOP_3_OUTPUT""),'Data Scenarios 1-2'!$B$2:$B$105=$A9,'Data Scenarios 1-2'!$C$2:$C$105=""All"",'Data Scenarios 1-2'!$D$2:$D$105=""Mean"")"),72.678397677707)</f>
        <v>72.678397677707</v>
      </c>
      <c r="E9" s="68" t="n">
        <f aca="false">B9*C9</f>
        <v>72.6783946866621</v>
      </c>
      <c r="F9" s="38" t="n">
        <f aca="false">IFERROR(__xludf.dummyfunction("FILTER(FILTER('Data Scenarios 1-2'!$A$2:$BX$105,'Data Scenarios 1-2'!$A$1:$BX$1=""V_LAPTOP_4_OUTPUT""),'Data Scenarios 1-2'!$B$2:$B$105=$A9,'Data Scenarios 1-2'!$C$2:$C$105=""All"",'Data Scenarios 1-2'!$D$2:$D$105=""Mean"")"),18.1799889611111)</f>
        <v>18.1799889611111</v>
      </c>
      <c r="G9" s="3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1-2'!$D$2:$D$105=""Mean"")"),3.87807671339504)</f>
        <v>3.87807671339504</v>
      </c>
      <c r="H9" s="65" t="n">
        <f aca="false">IFERROR(__xludf.dummyfunction("FILTER(FILTER('Data Scenarios 1-2'!$A$2:$BX$105,'Data Scenarios 1-2'!$A$1:$BX$1=""P_LAPTOP_4_OUTPUT""),'Data Scenarios 1-2'!$B$2:$B$105=$A9,'Data Scenarios 1-2'!$C$2:$C$105=""All"",'Data Scenarios 1-2'!$D$2:$D$105=""Mean"")"),70.5033893876772)</f>
        <v>70.5033893876772</v>
      </c>
      <c r="I9" s="68" t="n">
        <f aca="false">F9*G9</f>
        <v>70.5033918398638</v>
      </c>
      <c r="J9" s="38" t="n">
        <f aca="false">IFERROR(__xludf.dummyfunction("FILTER(FILTER('Data Scenarios 1-2'!$A$2:$BX$105,'Data Scenarios 1-2'!$A$1:$BX$1=""V_LAPTOP_5_OUTPUT""),'Data Scenarios 1-2'!$B$2:$B$105=$A9,'Data Scenarios 1-2'!$C$2:$C$105=""All"",'Data Scenarios 1-2'!$D$2:$D$105=""Mean"")"),18.2348364944444)</f>
        <v>18.2348364944444</v>
      </c>
      <c r="K9" s="3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1-2'!$D$2:$D$105=""Mean"")"),3.90427442828854)</f>
        <v>3.90427442828854</v>
      </c>
      <c r="L9" s="65" t="n">
        <f aca="false">IFERROR(__xludf.dummyfunction("FILTER(FILTER('Data Scenarios 1-2'!$A$2:$BX$105,'Data Scenarios 1-2'!$A$1:$BX$1=""P_LAPTOP_5_OUTPUT""),'Data Scenarios 1-2'!$B$2:$B$105=$A9,'Data Scenarios 1-2'!$C$2:$C$105=""All"",'Data Scenarios 1-2'!$D$2:$D$105=""Mean"")"),71.193808858041)</f>
        <v>71.193808858041</v>
      </c>
      <c r="M9" s="68" t="n">
        <f aca="false">J9*K9</f>
        <v>71.1938058292819</v>
      </c>
      <c r="N9" s="38" t="n">
        <f aca="false">IFERROR(__xludf.dummyfunction("FILTER(FILTER('Data Scenarios 1-2'!$A$2:$BX$105,'Data Scenarios 1-2'!$A$1:$BX$1=""V_LED_1""),'Data Scenarios 1-2'!$B$2:$B$105=$A9,'Data Scenarios 1-2'!$C$2:$C$105=""All"",'Data Scenarios 1-2'!$D$2:$D$105=""Mean"")"),24.1774019055555)</f>
        <v>24.1774019055555</v>
      </c>
      <c r="O9" s="38" t="n">
        <f aca="false">IFERROR(__xludf.dummyfunction("FILTER(FILTER('Data Scenarios 1-2'!$A$2:$BX$105,'Data Scenarios 1-2'!$A$1:$BX$1=""I_LED_1""),'Data Scenarios 1-2'!$B$2:$B$105=$A9,'Data Scenarios 1-2'!$C$2:$C$105=""All"",'Data Scenarios 1-2'!$D$2:$D$105=""Mean"")"),1.12790288943622)</f>
        <v>1.12790288943622</v>
      </c>
      <c r="P9" s="65" t="n">
        <f aca="false">IFERROR(__xludf.dummyfunction("FILTER(FILTER('Data Scenarios 1-2'!$A$2:$BX$105,'Data Scenarios 1-2'!$A$1:$BX$1=""P_LED_1""),'Data Scenarios 1-2'!$B$2:$B$105=$A9,'Data Scenarios 1-2'!$C$2:$C$105=""All"",'Data Scenarios 1-2'!$D$2:$D$105=""Mean"")"),27.2695229503842)</f>
        <v>27.2695229503842</v>
      </c>
      <c r="Q9" s="69" t="n">
        <f aca="false">N9*O9</f>
        <v>27.2697614683368</v>
      </c>
      <c r="R9" s="38" t="n">
        <f aca="false">IFERROR(__xludf.dummyfunction("FILTER(FILTER('Data Scenarios 1-2'!$A$2:$BX$105,'Data Scenarios 1-2'!$A$1:$BX$1=""V_LED_2""),'Data Scenarios 1-2'!$B$2:$B$105=$A9,'Data Scenarios 1-2'!$C$2:$C$105=""All"",'Data Scenarios 1-2'!$D$2:$D$105=""Mean"")"),24.1020469305555)</f>
        <v>24.1020469305555</v>
      </c>
      <c r="S9" s="38" t="n">
        <f aca="false">IFERROR(__xludf.dummyfunction("FILTER(FILTER('Data Scenarios 1-2'!$A$2:$BX$105,'Data Scenarios 1-2'!$A$1:$BX$1=""I_LED_2""),'Data Scenarios 1-2'!$B$2:$B$105=$A9,'Data Scenarios 1-2'!$C$2:$C$105=""All"",'Data Scenarios 1-2'!$D$2:$D$105=""Mean"")"),1.15562154722783)</f>
        <v>1.15562154722783</v>
      </c>
      <c r="T9" s="65" t="n">
        <f aca="false">IFERROR(__xludf.dummyfunction("FILTER(FILTER('Data Scenarios 1-2'!$A$2:$BX$105,'Data Scenarios 1-2'!$A$1:$BX$1=""P_LED_2""),'Data Scenarios 1-2'!$B$2:$B$105=$A9,'Data Scenarios 1-2'!$C$2:$C$105=""All"",'Data Scenarios 1-2'!$D$2:$D$105=""Mean"")"),27.8525966552544)</f>
        <v>27.8525966552544</v>
      </c>
      <c r="U9" s="69" t="n">
        <f aca="false">R9*S9</f>
        <v>27.8528447652463</v>
      </c>
      <c r="V9" s="38" t="n">
        <f aca="false">IFERROR(__xludf.dummyfunction("FILTER(FILTER('Data Scenarios 1-2'!$A$2:$BX$105,'Data Scenarios 1-2'!$A$1:$BX$1=""V_LED_3""),'Data Scenarios 1-2'!$B$2:$B$105=$A9,'Data Scenarios 1-2'!$C$2:$C$105=""All"",'Data Scenarios 1-2'!$D$2:$D$105=""Mean"")"),24.1482586138888)</f>
        <v>24.1482586138888</v>
      </c>
      <c r="W9" s="38" t="n">
        <f aca="false">IFERROR(__xludf.dummyfunction("FILTER(FILTER('Data Scenarios 1-2'!$A$2:$BX$105,'Data Scenarios 1-2'!$A$1:$BX$1=""I_LED_3""),'Data Scenarios 1-2'!$B$2:$B$105=$A9,'Data Scenarios 1-2'!$C$2:$C$105=""All"",'Data Scenarios 1-2'!$D$2:$D$105=""Mean"")"),1.1066458295781)</f>
        <v>1.1066458295781</v>
      </c>
      <c r="X9" s="65" t="n">
        <f aca="false">IFERROR(__xludf.dummyfunction("FILTER(FILTER('Data Scenarios 1-2'!$A$2:$BX$105,'Data Scenarios 1-2'!$A$1:$BX$1=""P_LED_3""),'Data Scenarios 1-2'!$B$2:$B$105=$A9,'Data Scenarios 1-2'!$C$2:$C$105=""All"",'Data Scenarios 1-2'!$D$2:$D$105=""Mean"")"),26.7231991812695)</f>
        <v>26.7231991812695</v>
      </c>
      <c r="Y9" s="69" t="n">
        <f aca="false">V9*W9</f>
        <v>26.7235696866335</v>
      </c>
      <c r="Z9" s="38" t="n">
        <f aca="false">IFERROR(__xludf.dummyfunction("FILTER(FILTER('Data Scenarios 1-2'!$A$2:$BX$105,'Data Scenarios 1-2'!$A$1:$BX$1=""V_OUT_PS1""),'Data Scenarios 1-2'!$B$2:$B$105=$A9,'Data Scenarios 1-2'!$C$2:$C$105=""All"",'Data Scenarios 1-2'!$D$2:$D$105=""Mean"")"),48.1810767777777)</f>
        <v>48.1810767777777</v>
      </c>
      <c r="AA9" s="40" t="n">
        <v>4.005</v>
      </c>
      <c r="AB9" s="41" t="n">
        <f aca="false">IFERROR(__xludf.dummyfunction("FILTER(FILTER('Data Scenarios 1-2'!$A$2:$BX$105,'Data Scenarios 1-2'!$A$1:$BX$1=""P_OUT_PS1""),'Data Scenarios 1-2'!$B$2:$B$105=$A9,'Data Scenarios 1-2'!$C$2:$C$105=""All"",'Data Scenarios 1-2'!$D$2:$D$105=""Mean"")"),580.354039914718)</f>
        <v>580.354039914718</v>
      </c>
      <c r="AC9" s="39" t="n">
        <f aca="false">Z9^2/AA9</f>
        <v>579.629502987793</v>
      </c>
      <c r="AD9" s="38" t="n">
        <f aca="false">IFERROR(__xludf.dummyfunction("FILTER(FILTER('Data Scenarios 1-2'!$A$2:$BX$105,'Data Scenarios 1-2'!$A$1:$BX$1=""V_OUT_PS2""),'Data Scenarios 1-2'!$B$2:$B$105=$A9,'Data Scenarios 1-2'!$C$2:$C$105=""All"",'Data Scenarios 1-2'!$D$2:$D$105=""Mean"")"),48.5536397611111)</f>
        <v>48.5536397611111</v>
      </c>
      <c r="AE9" s="40"/>
      <c r="AF9" s="41" t="n">
        <f aca="false">IFERROR(__xludf.dummyfunction("FILTER(FILTER('Data Scenarios 1-2'!$A$2:$BX$105,'Data Scenarios 1-2'!$A$1:$BX$1=""P_OUT_PS2""),'Data Scenarios 1-2'!$B$2:$B$105=$A9,'Data Scenarios 1-2'!$C$2:$C$105=""All"",'Data Scenarios 1-2'!$D$2:$D$105=""Mean"")"),2.61939548359099E-016)</f>
        <v>2.61939548359099E-016</v>
      </c>
      <c r="AG9" s="42" t="n">
        <v>0</v>
      </c>
      <c r="AH9" s="38" t="n">
        <f aca="false">IFERROR(__xludf.dummyfunction("FILTER(FILTER('Data Scenarios 1-2'!$A$2:$BX$105,'Data Scenarios 1-2'!$A$1:$BX$1=""V_OUT_PS3""),'Data Scenarios 1-2'!$B$2:$B$105=$A9,'Data Scenarios 1-2'!$C$2:$C$105=""All"",'Data Scenarios 1-2'!$D$2:$D$105=""Mean"")"),48.1987045611111)</f>
        <v>48.1987045611111</v>
      </c>
      <c r="AI9" s="40" t="n">
        <v>4.15</v>
      </c>
      <c r="AJ9" s="41" t="n">
        <f aca="false">IFERROR(__xludf.dummyfunction("FILTER(FILTER('Data Scenarios 1-2'!$A$2:$BX$105,'Data Scenarios 1-2'!$A$1:$BX$1=""P_OUT_PS3""),'Data Scenarios 1-2'!$B$2:$B$105=$A9,'Data Scenarios 1-2'!$C$2:$C$105=""All"",'Data Scenarios 1-2'!$D$2:$D$105=""Mean"")"),559.78677626769)</f>
        <v>559.78677626769</v>
      </c>
      <c r="AK9" s="77" t="n">
        <f aca="false">AH9^2/AI9</f>
        <v>559.786776233559</v>
      </c>
      <c r="AL9" s="44" t="n">
        <f aca="false">IFERROR(__xludf.dummyfunction("FILTER(FILTER('Data Scenarios 1-2'!$A$2:$BX$105,'Data Scenarios 1-2'!$A$1:$BX$1=""P_In""),'Data Scenarios 1-2'!$B$2:$B$105=$A9,'Data Scenarios 1-2'!$C$2:$C$105=""All"",'Data Scenarios 1-2'!$D$2:$D$105=""Mean"")"),1772.1047425)</f>
        <v>1772.1047425</v>
      </c>
      <c r="AM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1-2'!$D$2:$D$105=""Mean"")"),1651.10761055555)</f>
        <v>1651.10761055555</v>
      </c>
      <c r="AN9" s="45" t="n">
        <f aca="false">IFERROR(__xludf.dummyfunction("FILTER(FILTER('Data Scenarios 1-2'!$A$2:$BX$105,'Data Scenarios 1-2'!$A$1:$BX$1=""P_Out""),'Data Scenarios 1-2'!$B$2:$B$105=$A9,'Data Scenarios 1-2'!$C$2:$C$105=""All"",'Data Scenarios 1-2'!$D$2:$D$105=""Mean"")"),1436.36173089274)</f>
        <v>1436.36173089274</v>
      </c>
      <c r="AO9" s="46" t="n">
        <f aca="false">E9+I9+M9+Q9+U9+Y9+AC9+AG9+AK9</f>
        <v>1435.63804749738</v>
      </c>
      <c r="AP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1-2'!$D$2:$D$105=""Mean"")"),120.997131944444)</f>
        <v>120.997131944444</v>
      </c>
      <c r="AQ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1-2'!$D$2:$D$105=""Mean"")"),214.745879662812)</f>
        <v>214.745879662812</v>
      </c>
      <c r="AR9" s="46" t="n">
        <f aca="false">AM9-AO9</f>
        <v>215.469563058174</v>
      </c>
      <c r="AS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1-2'!$D$2:$D$105=""Mean"")"),335.743011607257)</f>
        <v>335.743011607257</v>
      </c>
      <c r="AT9" s="46" t="n">
        <f aca="false">AL9-AO9</f>
        <v>336.466695002624</v>
      </c>
      <c r="AU9" s="47" t="n">
        <f aca="false">IFERROR(__xludf.dummyfunction("FILTER(FILTER('Data Scenarios 1-2'!$A$2:$BX$105,'Data Scenarios 1-2'!$A$1:$BX$1=""V_LAPTOP_3_OUTPUT""),'Data Scenarios 1-2'!$B$2:$B$105=$A9,'Data Scenarios 1-2'!$C$2:$C$105=""All"",'Data Scenarios 1-2'!$D$2:$D$105=""Standard Deviation"")"),0.00559725291272115)</f>
        <v>0.00559725291272115</v>
      </c>
      <c r="AV9" s="48" t="n">
        <f aca="false">IFERROR(__xludf.dummyfunction("FILTER(FILTER('Data Scenarios 1-2'!$A$2:$BX$105,'Data Scenarios 1-2'!$A$1:$BX$1=""I_LAPTOP_3_OUTPUT""),'Data Scenarios 1-2'!$B$2:$B$105=$A9,'Data Scenarios 1-2'!$C$2:$C$105=""All"",'Data Scenarios 1-2'!$D$2:$D$105=""Standard Deviation"")"),0.000829353800845638)</f>
        <v>0.000829353800845638</v>
      </c>
      <c r="AW9" s="72" t="n">
        <f aca="false">IFERROR(__xludf.dummyfunction("FILTER(FILTER('Data Scenarios 1-2'!$A$2:$BX$105,'Data Scenarios 1-2'!$A$1:$BX$1=""V_LAPTOP_3_OUTPUT * I_LAPTOP_3_OUTPUT""),'Data Scenarios 1-2'!$B$2:$B$105=$A9,'Data Scenarios 1-2'!$C$2:$C$105=""All"",'Data Scenarios 1-2'!$D$2:$D$105=""Covariance"")"),0.00000358287549867577)</f>
        <v>3.58287549867577E-006</v>
      </c>
      <c r="AX9" s="38" t="n">
        <f aca="false">IFERROR(__xludf.dummyfunction("FILTER(FILTER('Data Scenarios 1-2'!$A$2:$BX$105,'Data Scenarios 1-2'!$A$1:$BX$1=""P_LAPTOP_3_OUTPUT""),'Data Scenarios 1-2'!$B$2:$B$105=$A9,'Data Scenarios 1-2'!$C$2:$C$105=""All"",'Data Scenarios 1-2'!$D$2:$D$105=""Standard Deviation"")"),0.0352869583169187)</f>
        <v>0.0352869583169187</v>
      </c>
      <c r="AY9" s="71" t="n">
        <f aca="false">ABS(E9)*SQRT((AU9/B9)^2+(AV9/C9)^2+2*AW9/(B9*C9))</f>
        <v>0.0352891469181228</v>
      </c>
      <c r="AZ9" s="47" t="n">
        <f aca="false">IFERROR(__xludf.dummyfunction("FILTER(FILTER('Data Scenarios 1-2'!$A$2:$BX$105,'Data Scenarios 1-2'!$A$1:$BX$1=""V_LAPTOP_4_OUTPUT""),'Data Scenarios 1-2'!$B$2:$B$105=$A9,'Data Scenarios 1-2'!$C$2:$C$105=""All"",'Data Scenarios 1-2'!$D$2:$D$105=""Standard Deviation"")"),0.00341587476539793)</f>
        <v>0.00341587476539793</v>
      </c>
      <c r="BA9" s="48" t="n">
        <f aca="false">IFERROR(__xludf.dummyfunction("FILTER(FILTER('Data Scenarios 1-2'!$A$2:$BX$105,'Data Scenarios 1-2'!$A$1:$BX$1=""I_LAPTOP_4_OUTPUT""),'Data Scenarios 1-2'!$B$2:$B$105=$A9,'Data Scenarios 1-2'!$C$2:$C$105=""All"",'Data Scenarios 1-2'!$D$2:$D$105=""Standard Deviation"")"),0.000547342167613417)</f>
        <v>0.000547342167613417</v>
      </c>
      <c r="BB9" s="52" t="n">
        <f aca="false">IFERROR(__xludf.dummyfunction("FILTER(FILTER('Data Scenarios 1-2'!$A$2:$BX$105,'Data Scenarios 1-2'!$A$1:$BX$1=""V_LAPTOP_4_OUTPUT * I_LAPTOP_4_OUTPUT""),'Data Scenarios 1-2'!$B$2:$B$105=$A9,'Data Scenarios 1-2'!$C$2:$C$105=""All"",'Data Scenarios 1-2'!$D$2:$D$105=""Covariance"")"),-0.0000000967895840725096)</f>
        <v>-9.67895840725096E-008</v>
      </c>
      <c r="BC9" s="38" t="n">
        <f aca="false">IFERROR(__xludf.dummyfunction("FILTER(FILTER('Data Scenarios 1-2'!$A$2:$BX$105,'Data Scenarios 1-2'!$A$1:$BX$1=""P_LAPTOP_4_OUTPUT""),'Data Scenarios 1-2'!$B$2:$B$105=$A9,'Data Scenarios 1-2'!$C$2:$C$105=""All"",'Data Scenarios 1-2'!$D$2:$D$105=""Standard Deviation"")"),0.0161503300280471)</f>
        <v>0.0161503300280471</v>
      </c>
      <c r="BD9" s="71" t="n">
        <f aca="false">ABS(I9)*SQRT((AZ9/F9)^2+(BA9/G9)^2+2*BB9/(F9*G9))</f>
        <v>0.0161509006367055</v>
      </c>
      <c r="BE9" s="47" t="n">
        <f aca="false">IFERROR(__xludf.dummyfunction("FILTER(FILTER('Data Scenarios 1-2'!$A$2:$BX$105,'Data Scenarios 1-2'!$A$1:$BX$1=""V_LAPTOP_5_OUTPUT""),'Data Scenarios 1-2'!$B$2:$B$105=$A9,'Data Scenarios 1-2'!$C$2:$C$105=""All"",'Data Scenarios 1-2'!$D$2:$D$105=""Standard Deviation"")"),0.00635482762086173)</f>
        <v>0.00635482762086173</v>
      </c>
      <c r="BF9" s="48" t="n">
        <f aca="false">IFERROR(__xludf.dummyfunction("FILTER(FILTER('Data Scenarios 1-2'!$A$2:$BX$105,'Data Scenarios 1-2'!$A$1:$BX$1=""I_LAPTOP_5_OUTPUT""),'Data Scenarios 1-2'!$B$2:$B$105=$A9,'Data Scenarios 1-2'!$C$2:$C$105=""All"",'Data Scenarios 1-2'!$D$2:$D$105=""Standard Deviation"")"),0.000410713226519835)</f>
        <v>0.000410713226519835</v>
      </c>
      <c r="BG9" s="49" t="n">
        <f aca="false">IFERROR(__xludf.dummyfunction("FILTER(FILTER('Data Scenarios 1-2'!$A$2:$BX$105,'Data Scenarios 1-2'!$A$1:$BX$1=""V_LAPTOP_5_OUTPUT * I_LAPTOP_5_OUTPUT""),'Data Scenarios 1-2'!$B$2:$B$105=$A9,'Data Scenarios 1-2'!$C$2:$C$105=""All"",'Data Scenarios 1-2'!$D$2:$D$105=""Covariance"")"),0.000000433979875187571)</f>
        <v>4.33979875187571E-007</v>
      </c>
      <c r="BH9" s="38" t="n">
        <f aca="false">IFERROR(__xludf.dummyfunction("FILTER(FILTER('Data Scenarios 1-2'!$A$2:$BX$105,'Data Scenarios 1-2'!$A$1:$BX$1=""P_LAPTOP_5_OUTPUT""),'Data Scenarios 1-2'!$B$2:$B$105=$A9,'Data Scenarios 1-2'!$C$2:$C$105=""All"",'Data Scenarios 1-2'!$D$2:$D$105=""Standard Deviation"")"),0.0270833027855729)</f>
        <v>0.0270833027855729</v>
      </c>
      <c r="BI9" s="71" t="n">
        <f aca="false">ABS(M9)*SQRT((BE9/J9)^2+(BF9/K9)^2+2*BG9/(J9*K9))</f>
        <v>0.0270826157132848</v>
      </c>
      <c r="BJ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K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L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M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N9" s="73" t="n">
        <f aca="false">ABS(Q9)*SQRT((BJ9/N9)^2+(BK9/O9)^2+2*BL9/(N9*O9))</f>
        <v>0.648925347783831</v>
      </c>
      <c r="BO9" s="59" t="n">
        <f aca="false">IFERROR(__xludf.dummyfunction("FILTER(FILTER('Data Scenarios 1-2'!$A$2:$BX$105,'Data Scenarios 1-2'!$A$1:$BX$1=""V_LED_2""),'Data Scenarios 1-2'!$B$2:$B$105=$A9,'Data Scenarios 1-2'!$C$2:$C$105=""All"",'Data Scenarios 1-2'!$D$2:$D$105=""Standard Deviation"")"),0.0132446210584752)</f>
        <v>0.0132446210584752</v>
      </c>
      <c r="BP9" s="38" t="n">
        <f aca="false">IFERROR(__xludf.dummyfunction("FILTER(FILTER('Data Scenarios 1-2'!$A$2:$BX$105,'Data Scenarios 1-2'!$A$1:$BX$1=""I_LED_2""),'Data Scenarios 1-2'!$B$2:$B$105=$A9,'Data Scenarios 1-2'!$C$2:$C$105=""All"",'Data Scenarios 1-2'!$D$2:$D$105=""Standard Deviation"")"),0.0265519744794403)</f>
        <v>0.0265519744794403</v>
      </c>
      <c r="BQ9" s="48" t="n">
        <f aca="false">IFERROR(__xludf.dummyfunction("FILTER(FILTER('Data Scenarios 1-2'!$A$2:$BX$105,'Data Scenarios 1-2'!$A$1:$BX$1=""V_LED_2 * I_LED_2""),'Data Scenarios 1-2'!$B$2:$B$105=$A9,'Data Scenarios 1-2'!$C$2:$C$105=""All"",'Data Scenarios 1-2'!$D$2:$D$105=""Covariance"")"),-0.000351667338928655)</f>
        <v>-0.000351667338928655</v>
      </c>
      <c r="BR9" s="65" t="n">
        <f aca="false">IFERROR(__xludf.dummyfunction("FILTER(FILTER('Data Scenarios 1-2'!$A$2:$BX$105,'Data Scenarios 1-2'!$A$1:$BX$1=""P_LED_2""),'Data Scenarios 1-2'!$B$2:$B$105=$A9,'Data Scenarios 1-2'!$C$2:$C$105=""All"",'Data Scenarios 1-2'!$D$2:$D$105=""Standard Deviation"")"),0.624614449136497)</f>
        <v>0.624614449136497</v>
      </c>
      <c r="BS9" s="73" t="n">
        <f aca="false">ABS(U9)*SQRT((BO9/R9)^2+(BP9/S9)^2+2*BQ9/(R9*S9))</f>
        <v>0.624651321648041</v>
      </c>
      <c r="BT9" s="59" t="n">
        <f aca="false">IFERROR(__xludf.dummyfunction("FILTER(FILTER('Data Scenarios 1-2'!$A$2:$BX$105,'Data Scenarios 1-2'!$A$1:$BX$1=""V_LED_1""),'Data Scenarios 1-2'!$B$2:$B$105=$A9,'Data Scenarios 1-2'!$C$2:$C$105=""All"",'Data Scenarios 1-2'!$D$2:$D$105=""Standard Deviation"")"),0.0123371142539868)</f>
        <v>0.0123371142539868</v>
      </c>
      <c r="BU9" s="38" t="n">
        <f aca="false">IFERROR(__xludf.dummyfunction("FILTER(FILTER('Data Scenarios 1-2'!$A$2:$BX$105,'Data Scenarios 1-2'!$A$1:$BX$1=""I_LED_1""),'Data Scenarios 1-2'!$B$2:$B$105=$A9,'Data Scenarios 1-2'!$C$2:$C$105=""All"",'Data Scenarios 1-2'!$D$2:$D$105=""Standard Deviation"")"),0.0274129683883462)</f>
        <v>0.0274129683883462</v>
      </c>
      <c r="BV9" s="48" t="n">
        <f aca="false">IFERROR(__xludf.dummyfunction("FILTER(FILTER('Data Scenarios 1-2'!$A$2:$BX$105,'Data Scenarios 1-2'!$A$1:$BX$1=""V_LED_1 * I_LED_1""),'Data Scenarios 1-2'!$B$2:$B$105=$A9,'Data Scenarios 1-2'!$C$2:$C$105=""All"",'Data Scenarios 1-2'!$D$2:$D$105=""Covariance"")"),-0.000336624994455249)</f>
        <v>-0.000336624994455249</v>
      </c>
      <c r="BW9" s="65" t="n">
        <f aca="false">IFERROR(__xludf.dummyfunction("FILTER(FILTER('Data Scenarios 1-2'!$A$2:$BX$105,'Data Scenarios 1-2'!$A$1:$BX$1=""P_LED_1""),'Data Scenarios 1-2'!$B$2:$B$105=$A9,'Data Scenarios 1-2'!$C$2:$C$105=""All"",'Data Scenarios 1-2'!$D$2:$D$105=""Standard Deviation"")"),0.648939594665757)</f>
        <v>0.648939594665757</v>
      </c>
      <c r="BX9" s="73" t="n">
        <f aca="false">ABS(Y9)*SQRT((BT9/V9)^2+(BU9/W9)^2+2*BV9/(V9*W9))</f>
        <v>0.648387424935642</v>
      </c>
      <c r="BY9" s="54" t="n">
        <f aca="false">IFERROR(__xludf.dummyfunction("FILTER(FILTER('Data Scenarios 1-2'!$A$2:$BX$105,'Data Scenarios 1-2'!$A$1:$BX$1=""V_OUT_PS1""),'Data Scenarios 1-2'!$B$2:$B$105=$A9,'Data Scenarios 1-2'!$C$2:$C$105=""All"",'Data Scenarios 1-2'!$D$2:$D$105=""Standard Deviation"")"),0.000504687110460482)</f>
        <v>0.000504687110460482</v>
      </c>
      <c r="BZ9" s="78" t="n">
        <v>0.0068</v>
      </c>
      <c r="CA9" s="38" t="n">
        <f aca="false">IFERROR(__xludf.dummyfunction("FILTER(FILTER('Data Scenarios 1-2'!$A$2:$BX$105,'Data Scenarios 1-2'!$A$1:$BX$1=""P_OUT_PS1""),'Data Scenarios 1-2'!$B$2:$B$105=$A9,'Data Scenarios 1-2'!$C$2:$C$105=""All"",'Data Scenarios 1-2'!$D$2:$D$105=""Standard Deviation"")"),0.0121581583407805)</f>
        <v>0.0121581583407805</v>
      </c>
      <c r="CB9" s="73" t="n">
        <f aca="false">SQRT(BY9^2*(2*Z9/AA9)^2+BZ9^2*(Z9^2/AA9^2)^2)</f>
        <v>0.984214891688163</v>
      </c>
      <c r="CC9" s="54" t="n">
        <f aca="false">IFERROR(__xludf.dummyfunction("FILTER(FILTER('Data Scenarios 1-2'!$A$2:$BX$105,'Data Scenarios 1-2'!$A$1:$BX$1=""V_OUT_PS2""),'Data Scenarios 1-2'!$B$2:$B$105=$A9,'Data Scenarios 1-2'!$C$2:$C$105=""All"",'Data Scenarios 1-2'!$D$2:$D$105=""Standard Deviation"")"),0.00096527480374931)</f>
        <v>0.00096527480374931</v>
      </c>
      <c r="CD9" s="55" t="n">
        <v>0</v>
      </c>
      <c r="CE9" s="38" t="n">
        <f aca="false">IFERROR(__xludf.dummyfunction("FILTER(FILTER('Data Scenarios 1-2'!$A$2:$BX$105,'Data Scenarios 1-2'!$A$1:$BX$1=""P_OUT_PS2""),'Data Scenarios 1-2'!$B$2:$B$105=$A9,'Data Scenarios 1-2'!$C$2:$C$105=""All"",'Data Scenarios 1-2'!$D$2:$D$105=""Standard Deviation"")"),1.04150014913097E-020)</f>
        <v>1.04150014913097E-020</v>
      </c>
      <c r="CF9" s="56" t="n">
        <v>0</v>
      </c>
      <c r="CG9" s="54" t="n">
        <f aca="false">IFERROR(__xludf.dummyfunction("FILTER(FILTER('Data Scenarios 1-2'!$A$2:$BX$105,'Data Scenarios 1-2'!$A$1:$BX$1=""V_OUT_PS3""),'Data Scenarios 1-2'!$B$2:$B$105=$A9,'Data Scenarios 1-2'!$C$2:$C$105=""All"",'Data Scenarios 1-2'!$D$2:$D$105=""Standard Deviation"")"),0.000366144517737904)</f>
        <v>0.000366144517737904</v>
      </c>
      <c r="CH9" s="78" t="n">
        <v>0.0079</v>
      </c>
      <c r="CI9" s="38" t="n">
        <f aca="false">IFERROR(__xludf.dummyfunction("FILTER(FILTER('Data Scenarios 1-2'!$A$2:$BX$105,'Data Scenarios 1-2'!$A$1:$BX$1=""P_OUT_PS3""),'Data Scenarios 1-2'!$B$2:$B$105=$A9,'Data Scenarios 1-2'!$C$2:$C$105=""All"",'Data Scenarios 1-2'!$D$2:$D$105=""Standard Deviation"")"),0.00850489649567968)</f>
        <v>0.00850489649567968</v>
      </c>
      <c r="CJ9" s="73" t="n">
        <f aca="false">SQRT(CG9^2*(2*AH9/AI9)^2+CH9^2*(AH9^2/AI9^2)^2)</f>
        <v>1.06565213969872</v>
      </c>
      <c r="CK9" s="57" t="n">
        <f aca="false">IFERROR(__xludf.dummyfunction("FILTER(FILTER('Data Scenarios 1-2'!$A$2:$BX$105,'Data Scenarios 1-2'!$A$1:$BX$1=""P_In""),'Data Scenarios 1-2'!$B$2:$B$105=$A9,'Data Scenarios 1-2'!$C$2:$C$105=""All"",'Data Scenarios 1-2'!$D$2:$D$105=""Standard Deviation"")"),0.736951268754833)</f>
        <v>0.736951268754833</v>
      </c>
      <c r="CL9" s="44" t="n">
        <f aca="false">IFERROR(__xludf.dummyfunction("FILTER(FILTER('Data Scenarios 1-2'!$A$2:$BX$105,'Data Scenarios 1-2'!$A$1:$BX$1=""P_Secondary""),'Data Scenarios 1-2'!$B$2:$B$105=$A9,'Data Scenarios 1-2'!$C$2:$C$105=""All"",'Data Scenarios 1-2'!$D$2:$D$105=""Standard Deviation"")"),1.54027470119088)</f>
        <v>1.54027470119088</v>
      </c>
      <c r="CM9" s="45" t="n">
        <f aca="false">IFERROR(__xludf.dummyfunction("FILTER(FILTER('Data Scenarios 1-2'!$A$2:$BX$105,'Data Scenarios 1-2'!$A$1:$BX$1=""P_Out""),'Data Scenarios 1-2'!$B$2:$B$105=$A9,'Data Scenarios 1-2'!$C$2:$C$105=""All"",'Data Scenarios 1-2'!$D$2:$D$105=""Standard Deviation"")"),2.02021450504798)</f>
        <v>2.02021450504798</v>
      </c>
      <c r="CN9" s="75" t="n">
        <f aca="false">SQRT(AX9^2+BC9^2+BH9^2+BM9^2+BR9^2+BW9^2+CB9^2+CF9^2+CJ9^2)</f>
        <v>1.8272715585983</v>
      </c>
      <c r="CO9" s="45" t="n">
        <f aca="false">IFERROR(__xludf.dummyfunction("FILTER(FILTER('Data Scenarios 1-2'!$A$2:$BX$105,'Data Scenarios 1-2'!$A$1:$BX$1=""P_TransformerLoss""),'Data Scenarios 1-2'!$B$2:$B$105=$A9,'Data Scenarios 1-2'!$C$2:$C$105=""All"",'Data Scenarios 1-2'!$D$2:$D$105=""Standard Deviation"")"),1.11120592877151)</f>
        <v>1.11120592877151</v>
      </c>
      <c r="CP9" s="41" t="n">
        <f aca="false">IFERROR(__xludf.dummyfunction("FILTER(FILTER('Data Scenarios 1-2'!$A$2:$BX$105,'Data Scenarios 1-2'!$A$1:$BX$1=""P_ConverterLoss""),'Data Scenarios 1-2'!$B$2:$B$105=$A9,'Data Scenarios 1-2'!$C$2:$C$105=""All"",'Data Scenarios 1-2'!$D$2:$D$105=""Standard Deviation"")"),3.55983525041557)</f>
        <v>3.55983525041557</v>
      </c>
      <c r="CQ9" s="75" t="n">
        <f aca="false">SQRT(CL9^2+MAX(CM9:CN9)^2)</f>
        <v>2.54041587176882</v>
      </c>
      <c r="CR9" s="41" t="n">
        <f aca="false">IFERROR(__xludf.dummyfunction("FILTER(FILTER('Data Scenarios 1-2'!$A$2:$BX$105,'Data Scenarios 1-2'!$A$1:$BX$1=""P_SystemLoss""),'Data Scenarios 1-2'!$B$2:$B$105=$A9,'Data Scenarios 1-2'!$C$2:$C$105=""All"",'Data Scenarios 1-2'!$D$2:$D$105=""Standard Deviation"")"),2.62766223943275)</f>
        <v>2.62766223943275</v>
      </c>
      <c r="CS9" s="75" t="n">
        <f aca="false">SQRT(CK9^2+MAX(CM9:CN9)^2)</f>
        <v>2.15043340257856</v>
      </c>
      <c r="CT9" s="79" t="n">
        <v>1796.860404628</v>
      </c>
      <c r="CU9" s="80" t="n">
        <v>1654.8772687947</v>
      </c>
      <c r="CV9" s="80" t="n">
        <v>141.983135833303</v>
      </c>
      <c r="CW9" s="80" t="n">
        <v>219.002840794701</v>
      </c>
      <c r="CX9" s="80" t="n">
        <v>360.985976628004</v>
      </c>
      <c r="CY9" s="45" t="n">
        <f aca="false">CT9-AL9</f>
        <v>24.755662128</v>
      </c>
      <c r="CZ9" s="65" t="n">
        <f aca="false">TINV(0.1,2)*CK9/SQRT(3)</f>
        <v>1.24239258385723</v>
      </c>
      <c r="DA9" s="66" t="n">
        <f aca="false">CY9/AL9</f>
        <v>0.0139696382128496</v>
      </c>
      <c r="DB9" s="67" t="n">
        <f aca="false">CZ9/AL9</f>
        <v>0.000701083042136957</v>
      </c>
      <c r="DC9" s="45" t="n">
        <f aca="false">CU9-AM9</f>
        <v>3.76965823914998</v>
      </c>
      <c r="DD9" s="65" t="n">
        <f aca="false">TINV(0.1,2)*CL9/SQRT(3)</f>
        <v>2.5966789759325</v>
      </c>
      <c r="DE9" s="66" t="n">
        <f aca="false">DC9/AM9</f>
        <v>0.00228310875381502</v>
      </c>
      <c r="DF9" s="67" t="n">
        <f aca="false">DD9/AM9</f>
        <v>0.00157268912052243</v>
      </c>
      <c r="DG9" s="45" t="n">
        <f aca="false">CV9-AP9</f>
        <v>20.986003888859</v>
      </c>
      <c r="DH9" s="65" t="n">
        <f aca="false">TINV(0.1,2)*CO9/SQRT(3)</f>
        <v>1.87333147193914</v>
      </c>
      <c r="DI9" s="66" t="n">
        <f aca="false">DG9/AP9</f>
        <v>0.173442159757099</v>
      </c>
      <c r="DJ9" s="66" t="n">
        <f aca="false">DH9/AP9</f>
        <v>0.0154824452599363</v>
      </c>
      <c r="DK9" s="45" t="n">
        <f aca="false">CW9-AR9</f>
        <v>3.53327773652711</v>
      </c>
      <c r="DL9" s="65" t="n">
        <f aca="false">TINV(0.1,2)*CP9/SQRT(3)</f>
        <v>6.00136413679366</v>
      </c>
      <c r="DM9" s="66" t="n">
        <f aca="false">DK9/AR9</f>
        <v>0.0163980363926072</v>
      </c>
      <c r="DN9" s="67" t="n">
        <f aca="false">DL9/AR9</f>
        <v>0.0278524913292434</v>
      </c>
      <c r="DO9" s="45" t="n">
        <f aca="false">CX9-AT9</f>
        <v>24.5192816253802</v>
      </c>
      <c r="DP9" s="65" t="n">
        <f aca="false">TINV(0.1,2)*CR9/SQRT(3)</f>
        <v>4.42985610794705</v>
      </c>
      <c r="DQ9" s="66" t="n">
        <f aca="false">DO9/AT9</f>
        <v>0.0728728340413872</v>
      </c>
      <c r="DR9" s="66" t="n">
        <f aca="false">DP9/AT9</f>
        <v>0.0131658086037684</v>
      </c>
    </row>
    <row r="10" customFormat="false" ht="12.75" hidden="false" customHeight="false" outlineLevel="0" collapsed="false">
      <c r="A10" s="37" t="n">
        <v>2.3</v>
      </c>
      <c r="B10" s="38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1-2'!$D$2:$D$105=""Mean"")"),18.2952515583333)</f>
        <v>18.2952515583333</v>
      </c>
      <c r="C10" s="65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1-2'!$D$2:$D$105=""Mean"")"),3.97192098389771)</f>
        <v>3.97192098389771</v>
      </c>
      <c r="D10" s="65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1-2'!$D$2:$D$105=""Mean"")"),72.6672938600623)</f>
        <v>72.6672938600623</v>
      </c>
      <c r="E10" s="68" t="n">
        <f aca="false">B10*C10</f>
        <v>72.6672935702313</v>
      </c>
      <c r="F10" s="38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1-2'!$D$2:$D$105=""Mean"")"),18.1893220333333)</f>
        <v>18.1893220333333</v>
      </c>
      <c r="G10" s="38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1-2'!$D$2:$D$105=""Mean"")"),3.87537567310962)</f>
        <v>3.87537567310962</v>
      </c>
      <c r="H10" s="65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1-2'!$D$2:$D$105=""Mean"")"),70.4904429553328)</f>
        <v>70.4904429553328</v>
      </c>
      <c r="I10" s="68" t="n">
        <f aca="false">F10*G10</f>
        <v>70.4904561183367</v>
      </c>
      <c r="J10" s="38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1-2'!$D$2:$D$105=""Mean"")"),18.2424152888888)</f>
        <v>18.2424152888888</v>
      </c>
      <c r="K10" s="3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1-2'!$D$2:$D$105=""Mean"")"),3.91004170122548)</f>
        <v>3.91004170122548</v>
      </c>
      <c r="L10" s="65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1-2'!$D$2:$D$105=""Mean"")"),71.3286106449815)</f>
        <v>71.3286106449815</v>
      </c>
      <c r="M10" s="68" t="n">
        <f aca="false">J10*K10</f>
        <v>71.3286045106285</v>
      </c>
      <c r="N10" s="38" t="n">
        <f aca="false">IFERROR(__xludf.dummyfunction("FILTER(FILTER('Data Scenarios 1-2'!$A$2:$BX$105,'Data Scenarios 1-2'!$A$1:$BX$1=""V_LED_1""),'Data Scenarios 1-2'!$B$2:$B$105=$A10,'Data Scenarios 1-2'!$C$2:$C$105=""All"",'Data Scenarios 1-2'!$D$2:$D$105=""Mean"")"),24.1606409916666)</f>
        <v>24.1606409916666</v>
      </c>
      <c r="O10" s="38" t="n">
        <f aca="false">IFERROR(__xludf.dummyfunction("FILTER(FILTER('Data Scenarios 1-2'!$A$2:$BX$105,'Data Scenarios 1-2'!$A$1:$BX$1=""I_LED_1""),'Data Scenarios 1-2'!$B$2:$B$105=$A10,'Data Scenarios 1-2'!$C$2:$C$105=""All"",'Data Scenarios 1-2'!$D$2:$D$105=""Mean"")"),1.14846517981081)</f>
        <v>1.14846517981081</v>
      </c>
      <c r="P10" s="65" t="n">
        <f aca="false">IFERROR(__xludf.dummyfunction("FILTER(FILTER('Data Scenarios 1-2'!$A$2:$BX$105,'Data Scenarios 1-2'!$A$1:$BX$1=""P_LED_1""),'Data Scenarios 1-2'!$B$2:$B$105=$A10,'Data Scenarios 1-2'!$C$2:$C$105=""All"",'Data Scenarios 1-2'!$D$2:$D$105=""Mean"")"),27.7476310630291)</f>
        <v>27.7476310630291</v>
      </c>
      <c r="Q10" s="69" t="n">
        <f aca="false">N10*O10</f>
        <v>27.7476549008388</v>
      </c>
      <c r="R10" s="38" t="n">
        <f aca="false">IFERROR(__xludf.dummyfunction("FILTER(FILTER('Data Scenarios 1-2'!$A$2:$BX$105,'Data Scenarios 1-2'!$A$1:$BX$1=""V_LED_2""),'Data Scenarios 1-2'!$B$2:$B$105=$A10,'Data Scenarios 1-2'!$C$2:$C$105=""All"",'Data Scenarios 1-2'!$D$2:$D$105=""Mean"")"),24.0852718472222)</f>
        <v>24.0852718472222</v>
      </c>
      <c r="S10" s="38" t="n">
        <f aca="false">IFERROR(__xludf.dummyfunction("FILTER(FILTER('Data Scenarios 1-2'!$A$2:$BX$105,'Data Scenarios 1-2'!$A$1:$BX$1=""I_LED_2""),'Data Scenarios 1-2'!$B$2:$B$105=$A10,'Data Scenarios 1-2'!$C$2:$C$105=""All"",'Data Scenarios 1-2'!$D$2:$D$105=""Mean"")"),1.17527109402314)</f>
        <v>1.17527109402314</v>
      </c>
      <c r="T10" s="65" t="n">
        <f aca="false">IFERROR(__xludf.dummyfunction("FILTER(FILTER('Data Scenarios 1-2'!$A$2:$BX$105,'Data Scenarios 1-2'!$A$1:$BX$1=""P_LED_2""),'Data Scenarios 1-2'!$B$2:$B$105=$A10,'Data Scenarios 1-2'!$C$2:$C$105=""All"",'Data Scenarios 1-2'!$D$2:$D$105=""Mean"")"),28.3066999230687)</f>
        <v>28.3066999230687</v>
      </c>
      <c r="U10" s="69" t="n">
        <f aca="false">R10*S10</f>
        <v>28.3067237937296</v>
      </c>
      <c r="V10" s="38" t="n">
        <f aca="false">IFERROR(__xludf.dummyfunction("FILTER(FILTER('Data Scenarios 1-2'!$A$2:$BX$105,'Data Scenarios 1-2'!$A$1:$BX$1=""V_LED_3""),'Data Scenarios 1-2'!$B$2:$B$105=$A10,'Data Scenarios 1-2'!$C$2:$C$105=""All"",'Data Scenarios 1-2'!$D$2:$D$105=""Mean"")"),24.1183086416666)</f>
        <v>24.1183086416666</v>
      </c>
      <c r="W10" s="38" t="n">
        <f aca="false">IFERROR(__xludf.dummyfunction("FILTER(FILTER('Data Scenarios 1-2'!$A$2:$BX$105,'Data Scenarios 1-2'!$A$1:$BX$1=""I_LED_3""),'Data Scenarios 1-2'!$B$2:$B$105=$A10,'Data Scenarios 1-2'!$C$2:$C$105=""All"",'Data Scenarios 1-2'!$D$2:$D$105=""Mean"")"),1.1276632416223)</f>
        <v>1.1276632416223</v>
      </c>
      <c r="X10" s="65" t="n">
        <f aca="false">IFERROR(__xludf.dummyfunction("FILTER(FILTER('Data Scenarios 1-2'!$A$2:$BX$105,'Data Scenarios 1-2'!$A$1:$BX$1=""P_LED_3""),'Data Scenarios 1-2'!$B$2:$B$105=$A10,'Data Scenarios 1-2'!$C$2:$C$105=""All"",'Data Scenarios 1-2'!$D$2:$D$105=""Mean"")"),27.1972932180435)</f>
        <v>27.1972932180435</v>
      </c>
      <c r="Y10" s="69" t="n">
        <f aca="false">V10*W10</f>
        <v>27.1973301053089</v>
      </c>
      <c r="Z10" s="38" t="n">
        <f aca="false">IFERROR(__xludf.dummyfunction("FILTER(FILTER('Data Scenarios 1-2'!$A$2:$BX$105,'Data Scenarios 1-2'!$A$1:$BX$1=""V_OUT_PS1""),'Data Scenarios 1-2'!$B$2:$B$105=$A10,'Data Scenarios 1-2'!$C$2:$C$105=""All"",'Data Scenarios 1-2'!$D$2:$D$105=""Mean"")"),48.1904314583333)</f>
        <v>48.1904314583333</v>
      </c>
      <c r="AA10" s="76" t="n">
        <v>10.044</v>
      </c>
      <c r="AB10" s="41" t="n">
        <f aca="false">IFERROR(__xludf.dummyfunction("FILTER(FILTER('Data Scenarios 1-2'!$A$2:$BX$105,'Data Scenarios 1-2'!$A$1:$BX$1=""P_OUT_PS1""),'Data Scenarios 1-2'!$B$2:$B$105=$A10,'Data Scenarios 1-2'!$C$2:$C$105=""All"",'Data Scenarios 1-2'!$D$2:$D$105=""Mean"")"),231.306542252145)</f>
        <v>231.306542252145</v>
      </c>
      <c r="AC10" s="39" t="n">
        <f aca="false">Z10^2/AA10</f>
        <v>231.214424944277</v>
      </c>
      <c r="AD10" s="38" t="n">
        <f aca="false">IFERROR(__xludf.dummyfunction("FILTER(FILTER('Data Scenarios 1-2'!$A$2:$BX$105,'Data Scenarios 1-2'!$A$1:$BX$1=""V_OUT_PS2""),'Data Scenarios 1-2'!$B$2:$B$105=$A10,'Data Scenarios 1-2'!$C$2:$C$105=""All"",'Data Scenarios 1-2'!$D$2:$D$105=""Mean"")"),47.7712339833333)</f>
        <v>47.7712339833333</v>
      </c>
      <c r="AE10" s="40" t="n">
        <v>5.645</v>
      </c>
      <c r="AF10" s="41" t="n">
        <f aca="false">IFERROR(__xludf.dummyfunction("FILTER(FILTER('Data Scenarios 1-2'!$A$2:$BX$105,'Data Scenarios 1-2'!$A$1:$BX$1=""P_OUT_PS2""),'Data Scenarios 1-2'!$B$2:$B$105=$A10,'Data Scenarios 1-2'!$C$2:$C$105=""All"",'Data Scenarios 1-2'!$D$2:$D$105=""Mean"")"),404.626029793336)</f>
        <v>404.626029793336</v>
      </c>
      <c r="AG10" s="39" t="n">
        <f aca="false">AD10^2/AE10</f>
        <v>404.267634418136</v>
      </c>
      <c r="AH10" s="38" t="n">
        <f aca="false">IFERROR(__xludf.dummyfunction("FILTER(FILTER('Data Scenarios 1-2'!$A$2:$BX$105,'Data Scenarios 1-2'!$A$1:$BX$1=""V_OUT_PS3""),'Data Scenarios 1-2'!$B$2:$B$105=$A10,'Data Scenarios 1-2'!$C$2:$C$105=""All"",'Data Scenarios 1-2'!$D$2:$D$105=""Mean"")"),48.2031498027777)</f>
        <v>48.2031498027777</v>
      </c>
      <c r="AI10" s="40" t="n">
        <v>4.15</v>
      </c>
      <c r="AJ10" s="41" t="n">
        <f aca="false">IFERROR(__xludf.dummyfunction("FILTER(FILTER('Data Scenarios 1-2'!$A$2:$BX$105,'Data Scenarios 1-2'!$A$1:$BX$1=""P_OUT_PS3""),'Data Scenarios 1-2'!$B$2:$B$105=$A10,'Data Scenarios 1-2'!$C$2:$C$105=""All"",'Data Scenarios 1-2'!$D$2:$D$105=""Mean"")"),559.890037554888)</f>
        <v>559.890037554888</v>
      </c>
      <c r="AK10" s="77" t="n">
        <f aca="false">AH10^2/AI10</f>
        <v>559.890036363621</v>
      </c>
      <c r="AL10" s="44" t="n">
        <f aca="false">IFERROR(__xludf.dummyfunction("FILTER(FILTER('Data Scenarios 1-2'!$A$2:$BX$105,'Data Scenarios 1-2'!$A$1:$BX$1=""P_In""),'Data Scenarios 1-2'!$B$2:$B$105=$A10,'Data Scenarios 1-2'!$C$2:$C$105=""All"",'Data Scenarios 1-2'!$D$2:$D$105=""Mean"")"),1839.23602805555)</f>
        <v>1839.23602805555</v>
      </c>
      <c r="AM10" s="44" t="n">
        <f aca="false">IFERROR(__xludf.dummyfunction("FILTER(FILTER('Data Scenarios 1-2'!$A$2:$BX$105,'Data Scenarios 1-2'!$A$1:$BX$1=""P_Secondary""),'Data Scenarios 1-2'!$B$2:$B$105=$A10,'Data Scenarios 1-2'!$C$2:$C$105=""All"",'Data Scenarios 1-2'!$D$2:$D$105=""Mean"")"),1709.4192475)</f>
        <v>1709.4192475</v>
      </c>
      <c r="AN10" s="45" t="n">
        <f aca="false">IFERROR(__xludf.dummyfunction("FILTER(FILTER('Data Scenarios 1-2'!$A$2:$BX$105,'Data Scenarios 1-2'!$A$1:$BX$1=""P_Out""),'Data Scenarios 1-2'!$B$2:$B$105=$A10,'Data Scenarios 1-2'!$C$2:$C$105=""All"",'Data Scenarios 1-2'!$D$2:$D$105=""Mean"")"),1493.56058126488)</f>
        <v>1493.56058126488</v>
      </c>
      <c r="AO10" s="46" t="n">
        <f aca="false">E10+I10+M10+Q10+U10+Y10+AC10+AG10+AK10</f>
        <v>1493.11015872511</v>
      </c>
      <c r="AP10" s="45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1-2'!$D$2:$D$105=""Mean"")"),129.816780555555)</f>
        <v>129.816780555555</v>
      </c>
      <c r="AQ10" s="41" t="n">
        <f aca="false">IFERROR(__xludf.dummyfunction("FILTER(FILTER('Data Scenarios 1-2'!$A$2:$BX$105,'Data Scenarios 1-2'!$A$1:$BX$1=""P_ConverterLoss""),'Data Scenarios 1-2'!$B$2:$B$105=$A10,'Data Scenarios 1-2'!$C$2:$C$105=""All"",'Data Scenarios 1-2'!$D$2:$D$105=""Mean"")"),215.85866623511)</f>
        <v>215.85866623511</v>
      </c>
      <c r="AR10" s="46" t="n">
        <f aca="false">AM10-AO10</f>
        <v>216.309088774892</v>
      </c>
      <c r="AS10" s="41" t="n">
        <f aca="false">IFERROR(__xludf.dummyfunction("FILTER(FILTER('Data Scenarios 1-2'!$A$2:$BX$105,'Data Scenarios 1-2'!$A$1:$BX$1=""P_SystemLoss""),'Data Scenarios 1-2'!$B$2:$B$105=$A10,'Data Scenarios 1-2'!$C$2:$C$105=""All"",'Data Scenarios 1-2'!$D$2:$D$105=""Mean"")"),345.675446790666)</f>
        <v>345.675446790666</v>
      </c>
      <c r="AT10" s="46" t="n">
        <f aca="false">AL10-AO10</f>
        <v>346.125869330442</v>
      </c>
      <c r="AU10" s="54" t="n">
        <f aca="false">IFERROR(__xludf.dummyfunction("FILTER(FILTER('Data Scenarios 1-2'!$A$2:$BX$105,'Data Scenarios 1-2'!$A$1:$BX$1=""V_LAPTOP_3_OUTPUT""),'Data Scenarios 1-2'!$B$2:$B$105=$A10,'Data Scenarios 1-2'!$C$2:$C$105=""All"",'Data Scenarios 1-2'!$D$2:$D$105=""Standard Deviation"")"),0.000660443942602193)</f>
        <v>0.000660443942602193</v>
      </c>
      <c r="AV10" s="48" t="n">
        <f aca="false">IFERROR(__xludf.dummyfunction("FILTER(FILTER('Data Scenarios 1-2'!$A$2:$BX$105,'Data Scenarios 1-2'!$A$1:$BX$1=""I_LAPTOP_3_OUTPUT""),'Data Scenarios 1-2'!$B$2:$B$105=$A10,'Data Scenarios 1-2'!$C$2:$C$105=""All"",'Data Scenarios 1-2'!$D$2:$D$105=""Standard Deviation"")"),0.000216657815018826)</f>
        <v>0.000216657815018826</v>
      </c>
      <c r="AW10" s="52" t="n">
        <f aca="false">IFERROR(__xludf.dummyfunction("FILTER(FILTER('Data Scenarios 1-2'!$A$2:$BX$105,'Data Scenarios 1-2'!$A$1:$BX$1=""V_LAPTOP_3_OUTPUT * I_LAPTOP_3_OUTPUT""),'Data Scenarios 1-2'!$B$2:$B$105=$A10,'Data Scenarios 1-2'!$C$2:$C$105=""All"",'Data Scenarios 1-2'!$D$2:$D$105=""Covariance"")"),-0.0000000404093841517094)</f>
        <v>-4.04093841517094E-008</v>
      </c>
      <c r="AX10" s="50" t="n">
        <f aca="false">IFERROR(__xludf.dummyfunction("FILTER(FILTER('Data Scenarios 1-2'!$A$2:$BX$105,'Data Scenarios 1-2'!$A$1:$BX$1=""P_LAPTOP_3_OUTPUT""),'Data Scenarios 1-2'!$B$2:$B$105=$A10,'Data Scenarios 1-2'!$C$2:$C$105=""All"",'Data Scenarios 1-2'!$D$2:$D$105=""Standard Deviation"")"),0.00408887487682387)</f>
        <v>0.00408887487682387</v>
      </c>
      <c r="AY10" s="51" t="n">
        <f aca="false">ABS(E10)*SQRT((AU10/B10)^2+(AV10/C10)^2+2*AW10/(B10*C10))</f>
        <v>0.00408903951086652</v>
      </c>
      <c r="AZ10" s="47" t="n">
        <f aca="false">IFERROR(__xludf.dummyfunction("FILTER(FILTER('Data Scenarios 1-2'!$A$2:$BX$105,'Data Scenarios 1-2'!$A$1:$BX$1=""V_LAPTOP_4_OUTPUT""),'Data Scenarios 1-2'!$B$2:$B$105=$A10,'Data Scenarios 1-2'!$C$2:$C$105=""All"",'Data Scenarios 1-2'!$D$2:$D$105=""Standard Deviation"")"),0.0042458988272013)</f>
        <v>0.0042458988272013</v>
      </c>
      <c r="BA10" s="50" t="n">
        <f aca="false">IFERROR(__xludf.dummyfunction("FILTER(FILTER('Data Scenarios 1-2'!$A$2:$BX$105,'Data Scenarios 1-2'!$A$1:$BX$1=""I_LAPTOP_4_OUTPUT""),'Data Scenarios 1-2'!$B$2:$B$105=$A10,'Data Scenarios 1-2'!$C$2:$C$105=""All"",'Data Scenarios 1-2'!$D$2:$D$105=""Standard Deviation"")"),0.005097235108542)</f>
        <v>0.005097235108542</v>
      </c>
      <c r="BB10" s="70" t="n">
        <f aca="false">IFERROR(__xludf.dummyfunction("FILTER(FILTER('Data Scenarios 1-2'!$A$2:$BX$105,'Data Scenarios 1-2'!$A$1:$BX$1=""V_LAPTOP_4_OUTPUT * I_LAPTOP_4_OUTPUT""),'Data Scenarios 1-2'!$B$2:$B$105=$A10,'Data Scenarios 1-2'!$C$2:$C$105=""All"",'Data Scenarios 1-2'!$D$2:$D$105=""Covariance"")"),-0.0000158516567208976)</f>
        <v>-1.58516567208976E-005</v>
      </c>
      <c r="BC10" s="38" t="n">
        <f aca="false">IFERROR(__xludf.dummyfunction("FILTER(FILTER('Data Scenarios 1-2'!$A$2:$BX$105,'Data Scenarios 1-2'!$A$1:$BX$1=""P_LAPTOP_4_OUTPUT""),'Data Scenarios 1-2'!$B$2:$B$105=$A10,'Data Scenarios 1-2'!$C$2:$C$105=""All"",'Data Scenarios 1-2'!$D$2:$D$105=""Standard Deviation"")"),0.0814232971456872)</f>
        <v>0.0814232971456872</v>
      </c>
      <c r="BD10" s="71" t="n">
        <f aca="false">ABS(I10)*SQRT((AZ10/F10)^2+(BA10/G10)^2+2*BB10/(F10*G10))</f>
        <v>0.0814376187217612</v>
      </c>
      <c r="BE10" s="54" t="n">
        <f aca="false">IFERROR(__xludf.dummyfunction("FILTER(FILTER('Data Scenarios 1-2'!$A$2:$BX$105,'Data Scenarios 1-2'!$A$1:$BX$1=""V_LAPTOP_5_OUTPUT""),'Data Scenarios 1-2'!$B$2:$B$105=$A10,'Data Scenarios 1-2'!$C$2:$C$105=""All"",'Data Scenarios 1-2'!$D$2:$D$105=""Standard Deviation"")"),0.00186824224849203)</f>
        <v>0.00186824224849203</v>
      </c>
      <c r="BF10" s="48" t="n">
        <f aca="false">IFERROR(__xludf.dummyfunction("FILTER(FILTER('Data Scenarios 1-2'!$A$2:$BX$105,'Data Scenarios 1-2'!$A$1:$BX$1=""I_LAPTOP_5_OUTPUT""),'Data Scenarios 1-2'!$B$2:$B$105=$A10,'Data Scenarios 1-2'!$C$2:$C$105=""All"",'Data Scenarios 1-2'!$D$2:$D$105=""Standard Deviation"")"),0.00180448820053978)</f>
        <v>0.00180448820053978</v>
      </c>
      <c r="BG10" s="72" t="n">
        <f aca="false">IFERROR(__xludf.dummyfunction("FILTER(FILTER('Data Scenarios 1-2'!$A$2:$BX$105,'Data Scenarios 1-2'!$A$1:$BX$1=""V_LAPTOP_5_OUTPUT * I_LAPTOP_5_OUTPUT""),'Data Scenarios 1-2'!$B$2:$B$105=$A10,'Data Scenarios 1-2'!$C$2:$C$105=""All"",'Data Scenarios 1-2'!$D$2:$D$105=""Covariance"")"),0.0000026586948579305)</f>
        <v>2.6586948579305E-006</v>
      </c>
      <c r="BH10" s="38" t="n">
        <f aca="false">IFERROR(__xludf.dummyfunction("FILTER(FILTER('Data Scenarios 1-2'!$A$2:$BX$105,'Data Scenarios 1-2'!$A$1:$BX$1=""P_LAPTOP_5_OUTPUT""),'Data Scenarios 1-2'!$B$2:$B$105=$A10,'Data Scenarios 1-2'!$C$2:$C$105=""All"",'Data Scenarios 1-2'!$D$2:$D$105=""Standard Deviation"")"),0.0389379175453407)</f>
        <v>0.0389379175453407</v>
      </c>
      <c r="BI10" s="71" t="n">
        <f aca="false">ABS(M10)*SQRT((BE10/J10)^2+(BF10/K10)^2+2*BG10/(J10*K10))</f>
        <v>0.0389390939950895</v>
      </c>
      <c r="BJ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K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L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M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N10" s="73" t="n">
        <f aca="false">ABS(Q10)*SQRT((BJ10/N10)^2+(BK10/O10)^2+2*BL10/(N10*O10))</f>
        <v>0.160066020386373</v>
      </c>
      <c r="BO10" s="47" t="n">
        <f aca="false">IFERROR(__xludf.dummyfunction("FILTER(FILTER('Data Scenarios 1-2'!$A$2:$BX$105,'Data Scenarios 1-2'!$A$1:$BX$1=""V_LED_2""),'Data Scenarios 1-2'!$B$2:$B$105=$A10,'Data Scenarios 1-2'!$C$2:$C$105=""All"",'Data Scenarios 1-2'!$D$2:$D$105=""Standard Deviation"")"),0.0040923037818425)</f>
        <v>0.0040923037818425</v>
      </c>
      <c r="BP10" s="50" t="n">
        <f aca="false">IFERROR(__xludf.dummyfunction("FILTER(FILTER('Data Scenarios 1-2'!$A$2:$BX$105,'Data Scenarios 1-2'!$A$1:$BX$1=""I_LED_2""),'Data Scenarios 1-2'!$B$2:$B$105=$A10,'Data Scenarios 1-2'!$C$2:$C$105=""All"",'Data Scenarios 1-2'!$D$2:$D$105=""Standard Deviation"")"),0.00594225924883039)</f>
        <v>0.00594225924883039</v>
      </c>
      <c r="BQ10" s="70" t="n">
        <f aca="false">IFERROR(__xludf.dummyfunction("FILTER(FILTER('Data Scenarios 1-2'!$A$2:$BX$105,'Data Scenarios 1-2'!$A$1:$BX$1=""V_LED_2 * I_LED_2""),'Data Scenarios 1-2'!$B$2:$B$105=$A10,'Data Scenarios 1-2'!$C$2:$C$105=""All"",'Data Scenarios 1-2'!$D$2:$D$105=""Covariance"")"),-0.0000242290061564653)</f>
        <v>-2.42290061564653E-005</v>
      </c>
      <c r="BR10" s="65" t="n">
        <f aca="false">IFERROR(__xludf.dummyfunction("FILTER(FILTER('Data Scenarios 1-2'!$A$2:$BX$105,'Data Scenarios 1-2'!$A$1:$BX$1=""P_LED_2""),'Data Scenarios 1-2'!$B$2:$B$105=$A10,'Data Scenarios 1-2'!$C$2:$C$105=""All"",'Data Scenarios 1-2'!$D$2:$D$105=""Standard Deviation"")"),0.138335661341106)</f>
        <v>0.138335661341106</v>
      </c>
      <c r="BS10" s="73" t="n">
        <f aca="false">ABS(U10)*SQRT((BO10/R10)^2+(BP10/S10)^2+2*BQ10/(R10*S10))</f>
        <v>0.13832947910365</v>
      </c>
      <c r="BT10" s="47" t="n">
        <f aca="false">IFERROR(__xludf.dummyfunction("FILTER(FILTER('Data Scenarios 1-2'!$A$2:$BX$105,'Data Scenarios 1-2'!$A$1:$BX$1=""V_LED_1""),'Data Scenarios 1-2'!$B$2:$B$105=$A10,'Data Scenarios 1-2'!$C$2:$C$105=""All"",'Data Scenarios 1-2'!$D$2:$D$105=""Standard Deviation"")"),0.00363442419526239)</f>
        <v>0.00363442419526239</v>
      </c>
      <c r="BU10" s="50" t="n">
        <f aca="false">IFERROR(__xludf.dummyfunction("FILTER(FILTER('Data Scenarios 1-2'!$A$2:$BX$105,'Data Scenarios 1-2'!$A$1:$BX$1=""I_LED_1""),'Data Scenarios 1-2'!$B$2:$B$105=$A10,'Data Scenarios 1-2'!$C$2:$C$105=""All"",'Data Scenarios 1-2'!$D$2:$D$105=""Standard Deviation"")"),0.00679727472634118)</f>
        <v>0.00679727472634118</v>
      </c>
      <c r="BV10" s="70" t="n">
        <f aca="false">IFERROR(__xludf.dummyfunction("FILTER(FILTER('Data Scenarios 1-2'!$A$2:$BX$105,'Data Scenarios 1-2'!$A$1:$BX$1=""V_LED_1 * I_LED_1""),'Data Scenarios 1-2'!$B$2:$B$105=$A10,'Data Scenarios 1-2'!$C$2:$C$105=""All"",'Data Scenarios 1-2'!$D$2:$D$105=""Covariance"")"),-0.0000246262162694859)</f>
        <v>-2.46262162694859E-005</v>
      </c>
      <c r="BW10" s="65" t="n">
        <f aca="false">IFERROR(__xludf.dummyfunction("FILTER(FILTER('Data Scenarios 1-2'!$A$2:$BX$105,'Data Scenarios 1-2'!$A$1:$BX$1=""P_LED_1""),'Data Scenarios 1-2'!$B$2:$B$105=$A10,'Data Scenarios 1-2'!$C$2:$C$105=""All"",'Data Scenarios 1-2'!$D$2:$D$105=""Standard Deviation"")"),0.160071002540682)</f>
        <v>0.160071002540682</v>
      </c>
      <c r="BX10" s="73" t="n">
        <f aca="false">ABS(Y10)*SQRT((BT10/V10)^2+(BU10/W10)^2+2*BV10/(V10*W10))</f>
        <v>0.159853628374664</v>
      </c>
      <c r="BY10" s="54" t="n">
        <f aca="false">IFERROR(__xludf.dummyfunction("FILTER(FILTER('Data Scenarios 1-2'!$A$2:$BX$105,'Data Scenarios 1-2'!$A$1:$BX$1=""V_OUT_PS1""),'Data Scenarios 1-2'!$B$2:$B$105=$A10,'Data Scenarios 1-2'!$C$2:$C$105=""All"",'Data Scenarios 1-2'!$D$2:$D$105=""Standard Deviation"")"),0.000242277375904213)</f>
        <v>0.000242277375904213</v>
      </c>
      <c r="BZ10" s="40" t="n">
        <v>0.0139</v>
      </c>
      <c r="CA10" s="38" t="n">
        <f aca="false">IFERROR(__xludf.dummyfunction("FILTER(FILTER('Data Scenarios 1-2'!$A$2:$BX$105,'Data Scenarios 1-2'!$A$1:$BX$1=""P_OUT_PS1""),'Data Scenarios 1-2'!$B$2:$B$105=$A10,'Data Scenarios 1-2'!$C$2:$C$105=""All"",'Data Scenarios 1-2'!$D$2:$D$105=""Standard Deviation"")"),0.00232578553613419)</f>
        <v>0.00232578553613419</v>
      </c>
      <c r="CB10" s="73" t="n">
        <f aca="false">SQRT(BY10^2*(2*Z10/AA10)^2+BZ10^2*(Z10^2/AA10^2)^2)</f>
        <v>0.319988583756027</v>
      </c>
      <c r="CC10" s="54" t="n">
        <f aca="false">IFERROR(__xludf.dummyfunction("FILTER(FILTER('Data Scenarios 1-2'!$A$2:$BX$105,'Data Scenarios 1-2'!$A$1:$BX$1=""V_OUT_PS2""),'Data Scenarios 1-2'!$B$2:$B$105=$A10,'Data Scenarios 1-2'!$C$2:$C$105=""All"",'Data Scenarios 1-2'!$D$2:$D$105=""Standard Deviation"")"),0.00322953194558489)</f>
        <v>0.00322953194558489</v>
      </c>
      <c r="CD10" s="78" t="n">
        <v>0.0041</v>
      </c>
      <c r="CE10" s="38" t="n">
        <f aca="false">IFERROR(__xludf.dummyfunction("FILTER(FILTER('Data Scenarios 1-2'!$A$2:$BX$105,'Data Scenarios 1-2'!$A$1:$BX$1=""P_OUT_PS2""),'Data Scenarios 1-2'!$B$2:$B$105=$A10,'Data Scenarios 1-2'!$C$2:$C$105=""All"",'Data Scenarios 1-2'!$D$2:$D$105=""Standard Deviation"")"),0.0547072025704473)</f>
        <v>0.0547072025704473</v>
      </c>
      <c r="CF10" s="73" t="n">
        <f aca="false">SQRT(CC10^2*(2*AD10/AE10)^2+CD10^2*(AD10^2/AE10^2)^2)</f>
        <v>0.298666610135926</v>
      </c>
      <c r="CG10" s="54" t="n">
        <f aca="false">IFERROR(__xludf.dummyfunction("FILTER(FILTER('Data Scenarios 1-2'!$A$2:$BX$105,'Data Scenarios 1-2'!$A$1:$BX$1=""V_OUT_PS3""),'Data Scenarios 1-2'!$B$2:$B$105=$A10,'Data Scenarios 1-2'!$C$2:$C$105=""All"",'Data Scenarios 1-2'!$D$2:$D$105=""Standard Deviation"")"),0.00262669405416797)</f>
        <v>0.00262669405416797</v>
      </c>
      <c r="CH10" s="78" t="n">
        <v>0.0079</v>
      </c>
      <c r="CI10" s="38" t="n">
        <f aca="false">IFERROR(__xludf.dummyfunction("FILTER(FILTER('Data Scenarios 1-2'!$A$2:$BX$105,'Data Scenarios 1-2'!$A$1:$BX$1=""P_OUT_PS3""),'Data Scenarios 1-2'!$B$2:$B$105=$A10,'Data Scenarios 1-2'!$C$2:$C$105=""All"",'Data Scenarios 1-2'!$D$2:$D$105=""Standard Deviation"")"),0.0610187036393384)</f>
        <v>0.0610187036393384</v>
      </c>
      <c r="CJ10" s="73" t="n">
        <f aca="false">SQRT(CG10^2*(2*AH10/AI10)^2+CH10^2*(AH10^2/AI10^2)^2)</f>
        <v>1.06756005339671</v>
      </c>
      <c r="CK10" s="57" t="n">
        <f aca="false">IFERROR(__xludf.dummyfunction("FILTER(FILTER('Data Scenarios 1-2'!$A$2:$BX$105,'Data Scenarios 1-2'!$A$1:$BX$1=""P_In""),'Data Scenarios 1-2'!$B$2:$B$105=$A10,'Data Scenarios 1-2'!$C$2:$C$105=""All"",'Data Scenarios 1-2'!$D$2:$D$105=""Standard Deviation"")"),0.971997833107464)</f>
        <v>0.971997833107464</v>
      </c>
      <c r="CL10" s="57" t="n">
        <f aca="false">IFERROR(__xludf.dummyfunction("FILTER(FILTER('Data Scenarios 1-2'!$A$2:$BX$105,'Data Scenarios 1-2'!$A$1:$BX$1=""P_Secondary""),'Data Scenarios 1-2'!$B$2:$B$105=$A10,'Data Scenarios 1-2'!$C$2:$C$105=""All"",'Data Scenarios 1-2'!$D$2:$D$105=""Standard Deviation"")"),0.459812755356122)</f>
        <v>0.459812755356122</v>
      </c>
      <c r="CM10" s="74" t="n">
        <f aca="false">IFERROR(__xludf.dummyfunction("FILTER(FILTER('Data Scenarios 1-2'!$A$2:$BX$105,'Data Scenarios 1-2'!$A$1:$BX$1=""P_Out""),'Data Scenarios 1-2'!$B$2:$B$105=$A10,'Data Scenarios 1-2'!$C$2:$C$105=""All"",'Data Scenarios 1-2'!$D$2:$D$105=""Standard Deviation"")"),0.469274043444895)</f>
        <v>0.469274043444895</v>
      </c>
      <c r="CN10" s="75" t="n">
        <f aca="false">SQRT(AX10^2+BC10^2+BH10^2+BM10^2+BR10^2+BW10^2+CB10^2+CF10^2+CJ10^2)</f>
        <v>1.18735999001933</v>
      </c>
      <c r="CO10" s="74" t="n">
        <f aca="false">IFERROR(__xludf.dummyfunction("FILTER(FILTER('Data Scenarios 1-2'!$A$2:$BX$105,'Data Scenarios 1-2'!$A$1:$BX$1=""P_TransformerLoss""),'Data Scenarios 1-2'!$B$2:$B$105=$A10,'Data Scenarios 1-2'!$C$2:$C$105=""All"",'Data Scenarios 1-2'!$D$2:$D$105=""Standard Deviation"")"),0.513021979008794)</f>
        <v>0.513021979008794</v>
      </c>
      <c r="CP10" s="65" t="n">
        <f aca="false">IFERROR(__xludf.dummyfunction("FILTER(FILTER('Data Scenarios 1-2'!$A$2:$BX$105,'Data Scenarios 1-2'!$A$1:$BX$1=""P_ConverterLoss""),'Data Scenarios 1-2'!$B$2:$B$105=$A10,'Data Scenarios 1-2'!$C$2:$C$105=""All"",'Data Scenarios 1-2'!$D$2:$D$105=""Standard Deviation"")"),0.13299500883655)</f>
        <v>0.13299500883655</v>
      </c>
      <c r="CQ10" s="75" t="n">
        <f aca="false">SQRT(CL10^2+MAX(CM10:CN10)^2)</f>
        <v>1.27328375309155</v>
      </c>
      <c r="CR10" s="65" t="n">
        <f aca="false">IFERROR(__xludf.dummyfunction("FILTER(FILTER('Data Scenarios 1-2'!$A$2:$BX$105,'Data Scenarios 1-2'!$A$1:$BX$1=""P_SystemLoss""),'Data Scenarios 1-2'!$B$2:$B$105=$A10,'Data Scenarios 1-2'!$C$2:$C$105=""All"",'Data Scenarios 1-2'!$D$2:$D$105=""Standard Deviation"")"),0.528655541752436)</f>
        <v>0.528655541752436</v>
      </c>
      <c r="CS10" s="75" t="n">
        <f aca="false">SQRT(CK10^2+MAX(CM10:CN10)^2)</f>
        <v>1.5344717441075</v>
      </c>
      <c r="CT10" s="79" t="n">
        <v>1861.36452516046</v>
      </c>
      <c r="CU10" s="80" t="n">
        <v>1711.04266797123</v>
      </c>
      <c r="CV10" s="80" t="n">
        <v>150.321857189228</v>
      </c>
      <c r="CW10" s="80" t="n">
        <v>217.741258971232</v>
      </c>
      <c r="CX10" s="80" t="n">
        <v>368.06311616046</v>
      </c>
      <c r="CY10" s="45" t="n">
        <f aca="false">CT10-AL10</f>
        <v>22.1284971049101</v>
      </c>
      <c r="CZ10" s="65" t="n">
        <f aca="false">TINV(0.1,2)*CK10/SQRT(3)</f>
        <v>1.63864688287788</v>
      </c>
      <c r="DA10" s="66" t="n">
        <f aca="false">CY10/AL10</f>
        <v>0.0120313525656109</v>
      </c>
      <c r="DB10" s="67" t="n">
        <f aca="false">CZ10/AL10</f>
        <v>0.000890938877817803</v>
      </c>
      <c r="DC10" s="45" t="n">
        <f aca="false">CU10-AM10</f>
        <v>1.62342047123002</v>
      </c>
      <c r="DD10" s="65" t="n">
        <f aca="false">TINV(0.1,2)*CL10/SQRT(3)</f>
        <v>0.775177384771491</v>
      </c>
      <c r="DE10" s="66" t="n">
        <f aca="false">DC10/AM10</f>
        <v>0.00094969123203933</v>
      </c>
      <c r="DF10" s="67" t="n">
        <f aca="false">DD10/AM10</f>
        <v>0.00045347411754324</v>
      </c>
      <c r="DG10" s="45" t="n">
        <f aca="false">CV10-AP10</f>
        <v>20.505076633673</v>
      </c>
      <c r="DH10" s="65" t="n">
        <f aca="false">TINV(0.1,2)*CO10/SQRT(3)</f>
        <v>0.864880391824557</v>
      </c>
      <c r="DI10" s="66" t="n">
        <f aca="false">DG10/AP10</f>
        <v>0.157953975949187</v>
      </c>
      <c r="DJ10" s="66" t="n">
        <f aca="false">DH10/AP10</f>
        <v>0.00666231582791742</v>
      </c>
      <c r="DK10" s="45" t="n">
        <f aca="false">CW10-AR10</f>
        <v>1.43217019633983</v>
      </c>
      <c r="DL10" s="65" t="n">
        <f aca="false">TINV(0.1,2)*CP10/SQRT(3)</f>
        <v>0.224210228917491</v>
      </c>
      <c r="DM10" s="66" t="n">
        <f aca="false">DK10/AR10</f>
        <v>0.00662094322735672</v>
      </c>
      <c r="DN10" s="67" t="n">
        <f aca="false">DL10/AR10</f>
        <v>0.00103652708347739</v>
      </c>
      <c r="DO10" s="45" t="n">
        <f aca="false">CX10-AT10</f>
        <v>21.9372468300179</v>
      </c>
      <c r="DP10" s="65" t="n">
        <f aca="false">TINV(0.1,2)*CR10/SQRT(3)</f>
        <v>0.891236303314858</v>
      </c>
      <c r="DQ10" s="66" t="n">
        <f aca="false">DO10/AT10</f>
        <v>0.063379391065031</v>
      </c>
      <c r="DR10" s="66" t="n">
        <f aca="false">DP10/AT10</f>
        <v>0.00257489076167261</v>
      </c>
    </row>
    <row r="11" customFormat="false" ht="12.75" hidden="false" customHeight="false" outlineLevel="0" collapsed="false">
      <c r="A11" s="37" t="n">
        <v>2.4</v>
      </c>
      <c r="B11" s="38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1-2'!$D$2:$D$105=""Mean"")"),18.2945076194444)</f>
        <v>18.2945076194444</v>
      </c>
      <c r="C11" s="65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1-2'!$D$2:$D$105=""Mean"")"),3.97269901094911)</f>
        <v>3.97269901094911</v>
      </c>
      <c r="D11" s="65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1-2'!$D$2:$D$105=""Mean"")"),72.6785743423376)</f>
        <v>72.6785743423376</v>
      </c>
      <c r="E11" s="68" t="n">
        <f aca="false">B11*C11</f>
        <v>72.6785723255677</v>
      </c>
      <c r="F11" s="38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1-2'!$D$2:$D$105=""Mean"")"),18.1949546)</f>
        <v>18.1949546</v>
      </c>
      <c r="G11" s="38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1-2'!$D$2:$D$105=""Mean"")"),3.87359540272035)</f>
        <v>3.87359540272035</v>
      </c>
      <c r="H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1-2'!$D$2:$D$105=""Mean"")"),70.4798833487595)</f>
        <v>70.4798833487595</v>
      </c>
      <c r="I11" s="68" t="n">
        <f aca="false">F11*G11</f>
        <v>70.4798924912655</v>
      </c>
      <c r="J11" s="38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1-2'!$D$2:$D$105=""Mean"")"),18.2473105777777)</f>
        <v>18.2473105777777</v>
      </c>
      <c r="K11" s="3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1-2'!$D$2:$D$105=""Mean"")"),3.91004777463142)</f>
        <v>3.91004777463142</v>
      </c>
      <c r="L11" s="65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1-2'!$D$2:$D$105=""Mean"")"),71.3478743394033)</f>
        <v>71.3478743394033</v>
      </c>
      <c r="M11" s="68" t="n">
        <f aca="false">J11*K11</f>
        <v>71.3478561176481</v>
      </c>
      <c r="N11" s="38" t="n">
        <f aca="false">IFERROR(__xludf.dummyfunction("FILTER(FILTER('Data Scenarios 1-2'!$A$2:$BX$105,'Data Scenarios 1-2'!$A$1:$BX$1=""V_LED_1""),'Data Scenarios 1-2'!$B$2:$B$105=$A11,'Data Scenarios 1-2'!$C$2:$C$105=""All"",'Data Scenarios 1-2'!$D$2:$D$105=""Mean"")"),24.1602291555555)</f>
        <v>24.1602291555555</v>
      </c>
      <c r="O11" s="38" t="n">
        <f aca="false">IFERROR(__xludf.dummyfunction("FILTER(FILTER('Data Scenarios 1-2'!$A$2:$BX$105,'Data Scenarios 1-2'!$A$1:$BX$1=""I_LED_1""),'Data Scenarios 1-2'!$B$2:$B$105=$A11,'Data Scenarios 1-2'!$C$2:$C$105=""All"",'Data Scenarios 1-2'!$D$2:$D$105=""Mean"")"),1.15507138951189)</f>
        <v>1.15507138951189</v>
      </c>
      <c r="P11" s="65" t="n">
        <f aca="false">IFERROR(__xludf.dummyfunction("FILTER(FILTER('Data Scenarios 1-2'!$A$2:$BX$105,'Data Scenarios 1-2'!$A$1:$BX$1=""P_LED_1""),'Data Scenarios 1-2'!$B$2:$B$105=$A11,'Data Scenarios 1-2'!$C$2:$C$105=""All"",'Data Scenarios 1-2'!$D$2:$D$105=""Mean"")"),27.9067445872952)</f>
        <v>27.9067445872952</v>
      </c>
      <c r="Q11" s="69" t="n">
        <f aca="false">N11*O11</f>
        <v>27.9067894616332</v>
      </c>
      <c r="R11" s="38" t="n">
        <f aca="false">IFERROR(__xludf.dummyfunction("FILTER(FILTER('Data Scenarios 1-2'!$A$2:$BX$105,'Data Scenarios 1-2'!$A$1:$BX$1=""V_LED_2""),'Data Scenarios 1-2'!$B$2:$B$105=$A11,'Data Scenarios 1-2'!$C$2:$C$105=""All"",'Data Scenarios 1-2'!$D$2:$D$105=""Mean"")"),24.0832912916666)</f>
        <v>24.0832912916666</v>
      </c>
      <c r="S11" s="38" t="n">
        <f aca="false">IFERROR(__xludf.dummyfunction("FILTER(FILTER('Data Scenarios 1-2'!$A$2:$BX$105,'Data Scenarios 1-2'!$A$1:$BX$1=""I_LED_2""),'Data Scenarios 1-2'!$B$2:$B$105=$A11,'Data Scenarios 1-2'!$C$2:$C$105=""All"",'Data Scenarios 1-2'!$D$2:$D$105=""Mean"")"),1.17157135128954)</f>
        <v>1.17157135128954</v>
      </c>
      <c r="T11" s="65" t="n">
        <f aca="false">IFERROR(__xludf.dummyfunction("FILTER(FILTER('Data Scenarios 1-2'!$A$2:$BX$105,'Data Scenarios 1-2'!$A$1:$BX$1=""P_LED_2""),'Data Scenarios 1-2'!$B$2:$B$105=$A11,'Data Scenarios 1-2'!$C$2:$C$105=""All"",'Data Scenarios 1-2'!$D$2:$D$105=""Mean"")"),28.2152515110935)</f>
        <v>28.2152515110935</v>
      </c>
      <c r="U11" s="69" t="n">
        <f aca="false">R11*S11</f>
        <v>28.2152941220775</v>
      </c>
      <c r="V11" s="38" t="n">
        <f aca="false">IFERROR(__xludf.dummyfunction("FILTER(FILTER('Data Scenarios 1-2'!$A$2:$BX$105,'Data Scenarios 1-2'!$A$1:$BX$1=""V_LED_3""),'Data Scenarios 1-2'!$B$2:$B$105=$A11,'Data Scenarios 1-2'!$C$2:$C$105=""All"",'Data Scenarios 1-2'!$D$2:$D$105=""Mean"")"),24.1108997444444)</f>
        <v>24.1108997444444</v>
      </c>
      <c r="W11" s="38" t="n">
        <f aca="false">IFERROR(__xludf.dummyfunction("FILTER(FILTER('Data Scenarios 1-2'!$A$2:$BX$105,'Data Scenarios 1-2'!$A$1:$BX$1=""I_LED_3""),'Data Scenarios 1-2'!$B$2:$B$105=$A11,'Data Scenarios 1-2'!$C$2:$C$105=""All"",'Data Scenarios 1-2'!$D$2:$D$105=""Mean"")"),1.12915539737083)</f>
        <v>1.12915539737083</v>
      </c>
      <c r="X11" s="65" t="n">
        <f aca="false">IFERROR(__xludf.dummyfunction("FILTER(FILTER('Data Scenarios 1-2'!$A$2:$BX$105,'Data Scenarios 1-2'!$A$1:$BX$1=""P_LED_3""),'Data Scenarios 1-2'!$B$2:$B$105=$A11,'Data Scenarios 1-2'!$C$2:$C$105=""All"",'Data Scenarios 1-2'!$D$2:$D$105=""Mean"")"),27.22492424866)</f>
        <v>27.22492424866</v>
      </c>
      <c r="Y11" s="69" t="n">
        <f aca="false">V11*W11</f>
        <v>27.2249525819064</v>
      </c>
      <c r="Z11" s="38" t="n">
        <f aca="false">IFERROR(__xludf.dummyfunction("FILTER(FILTER('Data Scenarios 1-2'!$A$2:$BX$105,'Data Scenarios 1-2'!$A$1:$BX$1=""V_OUT_PS1""),'Data Scenarios 1-2'!$B$2:$B$105=$A11,'Data Scenarios 1-2'!$C$2:$C$105=""All"",'Data Scenarios 1-2'!$D$2:$D$105=""Mean"")"),48.183818975)</f>
        <v>48.183818975</v>
      </c>
      <c r="AA11" s="40" t="n">
        <v>4.005</v>
      </c>
      <c r="AB11" s="41" t="n">
        <f aca="false">IFERROR(__xludf.dummyfunction("FILTER(FILTER('Data Scenarios 1-2'!$A$2:$BX$105,'Data Scenarios 1-2'!$A$1:$BX$1=""P_OUT_PS1""),'Data Scenarios 1-2'!$B$2:$B$105=$A11,'Data Scenarios 1-2'!$C$2:$C$105=""All"",'Data Scenarios 1-2'!$D$2:$D$105=""Mean"")"),580.420102823174)</f>
        <v>580.420102823174</v>
      </c>
      <c r="AC11" s="39" t="n">
        <f aca="false">Z11^2/AA11</f>
        <v>579.695483399643</v>
      </c>
      <c r="AD11" s="38" t="n">
        <f aca="false">IFERROR(__xludf.dummyfunction("FILTER(FILTER('Data Scenarios 1-2'!$A$2:$BX$105,'Data Scenarios 1-2'!$A$1:$BX$1=""V_OUT_PS2""),'Data Scenarios 1-2'!$B$2:$B$105=$A11,'Data Scenarios 1-2'!$C$2:$C$105=""All"",'Data Scenarios 1-2'!$D$2:$D$105=""Mean"")"),47.7792802805555)</f>
        <v>47.7792802805555</v>
      </c>
      <c r="AE11" s="40" t="n">
        <v>5.645</v>
      </c>
      <c r="AF11" s="41" t="n">
        <f aca="false">IFERROR(__xludf.dummyfunction("FILTER(FILTER('Data Scenarios 1-2'!$A$2:$BX$105,'Data Scenarios 1-2'!$A$1:$BX$1=""P_OUT_PS2""),'Data Scenarios 1-2'!$B$2:$B$105=$A11,'Data Scenarios 1-2'!$C$2:$C$105=""All"",'Data Scenarios 1-2'!$D$2:$D$105=""Mean"")"),404.762345277649)</f>
        <v>404.762345277649</v>
      </c>
      <c r="AG11" s="39" t="n">
        <f aca="false">AD11^2/AE11</f>
        <v>404.403830669243</v>
      </c>
      <c r="AH11" s="38" t="n">
        <f aca="false">IFERROR(__xludf.dummyfunction("FILTER(FILTER('Data Scenarios 1-2'!$A$2:$BX$105,'Data Scenarios 1-2'!$A$1:$BX$1=""V_OUT_PS3""),'Data Scenarios 1-2'!$B$2:$B$105=$A11,'Data Scenarios 1-2'!$C$2:$C$105=""All"",'Data Scenarios 1-2'!$D$2:$D$105=""Mean"")"),48.1976269333333)</f>
        <v>48.1976269333333</v>
      </c>
      <c r="AI11" s="40"/>
      <c r="AJ11" s="41" t="n">
        <f aca="false">IFERROR(__xludf.dummyfunction("FILTER(FILTER('Data Scenarios 1-2'!$A$2:$BX$105,'Data Scenarios 1-2'!$A$1:$BX$1=""P_OUT_PS3""),'Data Scenarios 1-2'!$B$2:$B$105=$A11,'Data Scenarios 1-2'!$C$2:$C$105=""All"",'Data Scenarios 1-2'!$D$2:$D$105=""Mean"")"),2.58112360329432E-016)</f>
        <v>2.58112360329432E-016</v>
      </c>
      <c r="AK11" s="43" t="n">
        <v>0</v>
      </c>
      <c r="AL11" s="44" t="n">
        <f aca="false">IFERROR(__xludf.dummyfunction("FILTER(FILTER('Data Scenarios 1-2'!$A$2:$BX$105,'Data Scenarios 1-2'!$A$1:$BX$1=""P_In""),'Data Scenarios 1-2'!$B$2:$B$105=$A11,'Data Scenarios 1-2'!$C$2:$C$105=""All"",'Data Scenarios 1-2'!$D$2:$D$105=""Mean"")"),1583.88683944444)</f>
        <v>1583.88683944444</v>
      </c>
      <c r="AM11" s="44" t="n">
        <f aca="false">IFERROR(__xludf.dummyfunction("FILTER(FILTER('Data Scenarios 1-2'!$A$2:$BX$105,'Data Scenarios 1-2'!$A$1:$BX$1=""P_Secondary""),'Data Scenarios 1-2'!$B$2:$B$105=$A11,'Data Scenarios 1-2'!$C$2:$C$105=""All"",'Data Scenarios 1-2'!$D$2:$D$105=""Mean"")"),1482.27991)</f>
        <v>1482.27991</v>
      </c>
      <c r="AN11" s="45" t="n">
        <f aca="false">IFERROR(__xludf.dummyfunction("FILTER(FILTER('Data Scenarios 1-2'!$A$2:$BX$105,'Data Scenarios 1-2'!$A$1:$BX$1=""P_Out""),'Data Scenarios 1-2'!$B$2:$B$105=$A11,'Data Scenarios 1-2'!$C$2:$C$105=""All"",'Data Scenarios 1-2'!$D$2:$D$105=""Mean"")"),1283.03570047837)</f>
        <v>1283.03570047837</v>
      </c>
      <c r="AO11" s="46" t="n">
        <f aca="false">E11+I11+M11+Q11+U11+Y11+AC11+AG11+AK11</f>
        <v>1281.95267116898</v>
      </c>
      <c r="AP11" s="45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1-2'!$D$2:$D$105=""Mean"")"),101.606929444444)</f>
        <v>101.606929444444</v>
      </c>
      <c r="AQ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1-2'!$D$2:$D$105=""Mean"")"),199.244209521626)</f>
        <v>199.244209521626</v>
      </c>
      <c r="AR11" s="46" t="n">
        <f aca="false">AM11-AO11</f>
        <v>200.327238831016</v>
      </c>
      <c r="AS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1-2'!$D$2:$D$105=""Mean"")"),300.851138966071)</f>
        <v>300.851138966071</v>
      </c>
      <c r="AT11" s="46" t="n">
        <f aca="false">AL11-AO11</f>
        <v>301.934168275456</v>
      </c>
      <c r="AU11" s="47" t="n">
        <f aca="false">IFERROR(__xludf.dummyfunction("FILTER(FILTER('Data Scenarios 1-2'!$A$2:$BX$105,'Data Scenarios 1-2'!$A$1:$BX$1=""V_LAPTOP_3_OUTPUT""),'Data Scenarios 1-2'!$B$2:$B$105=$A11,'Data Scenarios 1-2'!$C$2:$C$105=""All"",'Data Scenarios 1-2'!$D$2:$D$105=""Standard Deviation"")"),0.00170989818561145)</f>
        <v>0.00170989818561145</v>
      </c>
      <c r="AV11" s="48" t="n">
        <f aca="false">IFERROR(__xludf.dummyfunction("FILTER(FILTER('Data Scenarios 1-2'!$A$2:$BX$105,'Data Scenarios 1-2'!$A$1:$BX$1=""I_LAPTOP_3_OUTPUT""),'Data Scenarios 1-2'!$B$2:$B$105=$A11,'Data Scenarios 1-2'!$C$2:$C$105=""All"",'Data Scenarios 1-2'!$D$2:$D$105=""Standard Deviation"")"),0.00098804303744469)</f>
        <v>0.00098804303744469</v>
      </c>
      <c r="AW11" s="49" t="n">
        <f aca="false">IFERROR(__xludf.dummyfunction("FILTER(FILTER('Data Scenarios 1-2'!$A$2:$BX$105,'Data Scenarios 1-2'!$A$1:$BX$1=""V_LAPTOP_3_OUTPUT * I_LAPTOP_3_OUTPUT""),'Data Scenarios 1-2'!$B$2:$B$105=$A11,'Data Scenarios 1-2'!$C$2:$C$105=""All"",'Data Scenarios 1-2'!$D$2:$D$105=""Covariance"")"),0.00000133514655683494)</f>
        <v>1.33514655683494E-006</v>
      </c>
      <c r="AX11" s="38" t="n">
        <f aca="false">IFERROR(__xludf.dummyfunction("FILTER(FILTER('Data Scenarios 1-2'!$A$2:$BX$105,'Data Scenarios 1-2'!$A$1:$BX$1=""P_LAPTOP_3_OUTPUT""),'Data Scenarios 1-2'!$B$2:$B$105=$A11,'Data Scenarios 1-2'!$C$2:$C$105=""All"",'Data Scenarios 1-2'!$D$2:$D$105=""Standard Deviation"")"),0.0238108170491822)</f>
        <v>0.0238108170491822</v>
      </c>
      <c r="AY11" s="71" t="n">
        <f aca="false">ABS(E11)*SQRT((AU11/B11)^2+(AV11/C11)^2+2*AW11/(B11*C11))</f>
        <v>0.0238107089357996</v>
      </c>
      <c r="AZ11" s="47" t="n">
        <f aca="false">IFERROR(__xludf.dummyfunction("FILTER(FILTER('Data Scenarios 1-2'!$A$2:$BX$105,'Data Scenarios 1-2'!$A$1:$BX$1=""V_LAPTOP_4_OUTPUT""),'Data Scenarios 1-2'!$B$2:$B$105=$A11,'Data Scenarios 1-2'!$C$2:$C$105=""All"",'Data Scenarios 1-2'!$D$2:$D$105=""Standard Deviation"")"),0.00207148977006771)</f>
        <v>0.00207148977006771</v>
      </c>
      <c r="BA11" s="50" t="n">
        <f aca="false">IFERROR(__xludf.dummyfunction("FILTER(FILTER('Data Scenarios 1-2'!$A$2:$BX$105,'Data Scenarios 1-2'!$A$1:$BX$1=""I_LAPTOP_4_OUTPUT""),'Data Scenarios 1-2'!$B$2:$B$105=$A11,'Data Scenarios 1-2'!$C$2:$C$105=""All"",'Data Scenarios 1-2'!$D$2:$D$105=""Standard Deviation"")"),0.00625299034116707)</f>
        <v>0.00625299034116707</v>
      </c>
      <c r="BB11" s="72" t="n">
        <f aca="false">IFERROR(__xludf.dummyfunction("FILTER(FILTER('Data Scenarios 1-2'!$A$2:$BX$105,'Data Scenarios 1-2'!$A$1:$BX$1=""V_LAPTOP_4_OUTPUT * I_LAPTOP_4_OUTPUT""),'Data Scenarios 1-2'!$B$2:$B$105=$A11,'Data Scenarios 1-2'!$C$2:$C$105=""All"",'Data Scenarios 1-2'!$D$2:$D$105=""Covariance"")"),-0.0000114541292221991)</f>
        <v>-1.14541292221991E-005</v>
      </c>
      <c r="BC11" s="65" t="n">
        <f aca="false">IFERROR(__xludf.dummyfunction("FILTER(FILTER('Data Scenarios 1-2'!$A$2:$BX$105,'Data Scenarios 1-2'!$A$1:$BX$1=""P_LAPTOP_4_OUTPUT""),'Data Scenarios 1-2'!$B$2:$B$105=$A11,'Data Scenarios 1-2'!$C$2:$C$105=""All"",'Data Scenarios 1-2'!$D$2:$D$105=""Standard Deviation"")"),0.106733651100121)</f>
        <v>0.106733651100121</v>
      </c>
      <c r="BD11" s="73" t="n">
        <f aca="false">ABS(I11)*SQRT((AZ11/F11)^2+(BA11/G11)^2+2*BB11/(F11*G11))</f>
        <v>0.106743065214975</v>
      </c>
      <c r="BE11" s="47" t="n">
        <f aca="false">IFERROR(__xludf.dummyfunction("FILTER(FILTER('Data Scenarios 1-2'!$A$2:$BX$105,'Data Scenarios 1-2'!$A$1:$BX$1=""V_LAPTOP_5_OUTPUT""),'Data Scenarios 1-2'!$B$2:$B$105=$A11,'Data Scenarios 1-2'!$C$2:$C$105=""All"",'Data Scenarios 1-2'!$D$2:$D$105=""Standard Deviation"")"),0.00197431497062025)</f>
        <v>0.00197431497062025</v>
      </c>
      <c r="BF11" s="48" t="n">
        <f aca="false">IFERROR(__xludf.dummyfunction("FILTER(FILTER('Data Scenarios 1-2'!$A$2:$BX$105,'Data Scenarios 1-2'!$A$1:$BX$1=""I_LAPTOP_5_OUTPUT""),'Data Scenarios 1-2'!$B$2:$B$105=$A11,'Data Scenarios 1-2'!$C$2:$C$105=""All"",'Data Scenarios 1-2'!$D$2:$D$105=""Standard Deviation"")"),0.0031607143639874)</f>
        <v>0.0031607143639874</v>
      </c>
      <c r="BG11" s="72" t="n">
        <f aca="false">IFERROR(__xludf.dummyfunction("FILTER(FILTER('Data Scenarios 1-2'!$A$2:$BX$105,'Data Scenarios 1-2'!$A$1:$BX$1=""V_LAPTOP_5_OUTPUT * I_LAPTOP_5_OUTPUT""),'Data Scenarios 1-2'!$B$2:$B$105=$A11,'Data Scenarios 1-2'!$C$2:$C$105=""All"",'Data Scenarios 1-2'!$D$2:$D$105=""Covariance"")"),0.00000486576738782529)</f>
        <v>4.86576738782529E-006</v>
      </c>
      <c r="BH11" s="38" t="n">
        <f aca="false">IFERROR(__xludf.dummyfunction("FILTER(FILTER('Data Scenarios 1-2'!$A$2:$BX$105,'Data Scenarios 1-2'!$A$1:$BX$1=""P_LAPTOP_5_OUTPUT""),'Data Scenarios 1-2'!$B$2:$B$105=$A11,'Data Scenarios 1-2'!$C$2:$C$105=""All"",'Data Scenarios 1-2'!$D$2:$D$105=""Standard Deviation"")"),0.0638628932196324)</f>
        <v>0.0638628932196324</v>
      </c>
      <c r="BI11" s="71" t="n">
        <f aca="false">ABS(M11)*SQRT((BE11/J11)^2+(BF11/K11)^2+2*BG11/(J11*K11))</f>
        <v>0.063876987729608</v>
      </c>
      <c r="BJ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K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L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M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N11" s="73" t="n">
        <f aca="false">ABS(Q11)*SQRT((BJ11/N11)^2+(BK11/O11)^2+2*BL11/(N11*O11))</f>
        <v>0.295085161221189</v>
      </c>
      <c r="BO11" s="47" t="n">
        <f aca="false">IFERROR(__xludf.dummyfunction("FILTER(FILTER('Data Scenarios 1-2'!$A$2:$BX$105,'Data Scenarios 1-2'!$A$1:$BX$1=""V_LED_2""),'Data Scenarios 1-2'!$B$2:$B$105=$A11,'Data Scenarios 1-2'!$C$2:$C$105=""All"",'Data Scenarios 1-2'!$D$2:$D$105=""Standard Deviation"")"),0.00453431043905495)</f>
        <v>0.00453431043905495</v>
      </c>
      <c r="BP11" s="38" t="n">
        <f aca="false">IFERROR(__xludf.dummyfunction("FILTER(FILTER('Data Scenarios 1-2'!$A$2:$BX$105,'Data Scenarios 1-2'!$A$1:$BX$1=""I_LED_2""),'Data Scenarios 1-2'!$B$2:$B$105=$A11,'Data Scenarios 1-2'!$C$2:$C$105=""All"",'Data Scenarios 1-2'!$D$2:$D$105=""Standard Deviation"")"),0.0116325836832907)</f>
        <v>0.0116325836832907</v>
      </c>
      <c r="BQ11" s="70" t="n">
        <f aca="false">IFERROR(__xludf.dummyfunction("FILTER(FILTER('Data Scenarios 1-2'!$A$2:$BX$105,'Data Scenarios 1-2'!$A$1:$BX$1=""V_LED_2 * I_LED_2""),'Data Scenarios 1-2'!$B$2:$B$105=$A11,'Data Scenarios 1-2'!$C$2:$C$105=""All"",'Data Scenarios 1-2'!$D$2:$D$105=""Covariance"")"),-0.0000515202568266936)</f>
        <v>-5.15202568266936E-005</v>
      </c>
      <c r="BR11" s="65" t="n">
        <f aca="false">IFERROR(__xludf.dummyfunction("FILTER(FILTER('Data Scenarios 1-2'!$A$2:$BX$105,'Data Scenarios 1-2'!$A$1:$BX$1=""P_LED_2""),'Data Scenarios 1-2'!$B$2:$B$105=$A11,'Data Scenarios 1-2'!$C$2:$C$105=""All"",'Data Scenarios 1-2'!$D$2:$D$105=""Standard Deviation"")"),0.274982197452841)</f>
        <v>0.274982197452841</v>
      </c>
      <c r="BS11" s="73" t="n">
        <f aca="false">ABS(U11)*SQRT((BO11/R11)^2+(BP11/S11)^2+2*BQ11/(R11*S11))</f>
        <v>0.274964414614611</v>
      </c>
      <c r="BT11" s="47" t="n">
        <f aca="false">IFERROR(__xludf.dummyfunction("FILTER(FILTER('Data Scenarios 1-2'!$A$2:$BX$105,'Data Scenarios 1-2'!$A$1:$BX$1=""V_LED_1""),'Data Scenarios 1-2'!$B$2:$B$105=$A11,'Data Scenarios 1-2'!$C$2:$C$105=""All"",'Data Scenarios 1-2'!$D$2:$D$105=""Standard Deviation"")"),0.00441022376201124)</f>
        <v>0.00441022376201124</v>
      </c>
      <c r="BU11" s="38" t="n">
        <f aca="false">IFERROR(__xludf.dummyfunction("FILTER(FILTER('Data Scenarios 1-2'!$A$2:$BX$105,'Data Scenarios 1-2'!$A$1:$BX$1=""I_LED_1""),'Data Scenarios 1-2'!$B$2:$B$105=$A11,'Data Scenarios 1-2'!$C$2:$C$105=""All"",'Data Scenarios 1-2'!$D$2:$D$105=""Standard Deviation"")"),0.0124219066604502)</f>
        <v>0.0124219066604502</v>
      </c>
      <c r="BV11" s="70" t="n">
        <f aca="false">IFERROR(__xludf.dummyfunction("FILTER(FILTER('Data Scenarios 1-2'!$A$2:$BX$105,'Data Scenarios 1-2'!$A$1:$BX$1=""V_LED_1 * I_LED_1""),'Data Scenarios 1-2'!$B$2:$B$105=$A11,'Data Scenarios 1-2'!$C$2:$C$105=""All"",'Data Scenarios 1-2'!$D$2:$D$105=""Covariance"")"),-0.0000541154704379495)</f>
        <v>-5.41154704379495E-005</v>
      </c>
      <c r="BW11" s="65" t="n">
        <f aca="false">IFERROR(__xludf.dummyfunction("FILTER(FILTER('Data Scenarios 1-2'!$A$2:$BX$105,'Data Scenarios 1-2'!$A$1:$BX$1=""P_LED_1""),'Data Scenarios 1-2'!$B$2:$B$105=$A11,'Data Scenarios 1-2'!$C$2:$C$105=""All"",'Data Scenarios 1-2'!$D$2:$D$105=""Standard Deviation"")"),0.295101344749745)</f>
        <v>0.295101344749745</v>
      </c>
      <c r="BX11" s="73" t="n">
        <f aca="false">ABS(Y11)*SQRT((BT11/V11)^2+(BU11/W11)^2+2*BV11/(V11*W11))</f>
        <v>0.294585252165417</v>
      </c>
      <c r="BY11" s="54" t="n">
        <f aca="false">IFERROR(__xludf.dummyfunction("FILTER(FILTER('Data Scenarios 1-2'!$A$2:$BX$105,'Data Scenarios 1-2'!$A$1:$BX$1=""V_OUT_PS1""),'Data Scenarios 1-2'!$B$2:$B$105=$A11,'Data Scenarios 1-2'!$C$2:$C$105=""All"",'Data Scenarios 1-2'!$D$2:$D$105=""Standard Deviation"")"),0.000514126863465512)</f>
        <v>0.000514126863465512</v>
      </c>
      <c r="BZ11" s="78" t="n">
        <v>0.0068</v>
      </c>
      <c r="CA11" s="38" t="n">
        <f aca="false">IFERROR(__xludf.dummyfunction("FILTER(FILTER('Data Scenarios 1-2'!$A$2:$BX$105,'Data Scenarios 1-2'!$A$1:$BX$1=""P_OUT_PS1""),'Data Scenarios 1-2'!$B$2:$B$105=$A11,'Data Scenarios 1-2'!$C$2:$C$105=""All"",'Data Scenarios 1-2'!$D$2:$D$105=""Standard Deviation"")"),0.0123862705492222)</f>
        <v>0.0123862705492222</v>
      </c>
      <c r="CB11" s="73" t="n">
        <f aca="false">SQRT(BY11^2*(2*Z11/AA11)^2+BZ11^2*(Z11^2/AA11^2)^2)</f>
        <v>0.984329746768986</v>
      </c>
      <c r="CC11" s="54" t="n">
        <f aca="false">IFERROR(__xludf.dummyfunction("FILTER(FILTER('Data Scenarios 1-2'!$A$2:$BX$105,'Data Scenarios 1-2'!$A$1:$BX$1=""V_OUT_PS2""),'Data Scenarios 1-2'!$B$2:$B$105=$A11,'Data Scenarios 1-2'!$C$2:$C$105=""All"",'Data Scenarios 1-2'!$D$2:$D$105=""Standard Deviation"")"),0.0010820032584075)</f>
        <v>0.0010820032584075</v>
      </c>
      <c r="CD11" s="78" t="n">
        <v>0.0041</v>
      </c>
      <c r="CE11" s="38" t="n">
        <f aca="false">IFERROR(__xludf.dummyfunction("FILTER(FILTER('Data Scenarios 1-2'!$A$2:$BX$105,'Data Scenarios 1-2'!$A$1:$BX$1=""P_OUT_PS2""),'Data Scenarios 1-2'!$B$2:$B$105=$A11,'Data Scenarios 1-2'!$C$2:$C$105=""All"",'Data Scenarios 1-2'!$D$2:$D$105=""Standard Deviation"")"),0.0183320436536665)</f>
        <v>0.0183320436536665</v>
      </c>
      <c r="CF11" s="73" t="n">
        <f aca="false">SQRT(CC11^2*(2*AD11/AE11)^2+CD11^2*(AD11^2/AE11^2)^2)</f>
        <v>0.294291651254237</v>
      </c>
      <c r="CG11" s="54" t="n">
        <f aca="false">IFERROR(__xludf.dummyfunction("FILTER(FILTER('Data Scenarios 1-2'!$A$2:$BX$105,'Data Scenarios 1-2'!$A$1:$BX$1=""V_OUT_PS3""),'Data Scenarios 1-2'!$B$2:$B$105=$A11,'Data Scenarios 1-2'!$C$2:$C$105=""All"",'Data Scenarios 1-2'!$D$2:$D$105=""Standard Deviation"")"),0.00115757046017738)</f>
        <v>0.00115757046017738</v>
      </c>
      <c r="CH11" s="55" t="n">
        <v>0</v>
      </c>
      <c r="CI11" s="38" t="n">
        <f aca="false">IFERROR(__xludf.dummyfunction("FILTER(FILTER('Data Scenarios 1-2'!$A$2:$BX$105,'Data Scenarios 1-2'!$A$1:$BX$1=""P_OUT_PS3""),'Data Scenarios 1-2'!$B$2:$B$105=$A11,'Data Scenarios 1-2'!$C$2:$C$105=""All"",'Data Scenarios 1-2'!$D$2:$D$105=""Standard Deviation"")"),1.23983444371428E-020)</f>
        <v>1.23983444371428E-020</v>
      </c>
      <c r="CJ11" s="56" t="n">
        <v>0</v>
      </c>
      <c r="CK11" s="57" t="n">
        <f aca="false">IFERROR(__xludf.dummyfunction("FILTER(FILTER('Data Scenarios 1-2'!$A$2:$BX$105,'Data Scenarios 1-2'!$A$1:$BX$1=""P_In""),'Data Scenarios 1-2'!$B$2:$B$105=$A11,'Data Scenarios 1-2'!$C$2:$C$105=""All"",'Data Scenarios 1-2'!$D$2:$D$105=""Standard Deviation"")"),0.64190355441107)</f>
        <v>0.64190355441107</v>
      </c>
      <c r="CL11" s="57" t="n">
        <f aca="false">IFERROR(__xludf.dummyfunction("FILTER(FILTER('Data Scenarios 1-2'!$A$2:$BX$105,'Data Scenarios 1-2'!$A$1:$BX$1=""P_Secondary""),'Data Scenarios 1-2'!$B$2:$B$105=$A11,'Data Scenarios 1-2'!$C$2:$C$105=""All"",'Data Scenarios 1-2'!$D$2:$D$105=""Standard Deviation"")"),0.763363970467839)</f>
        <v>0.763363970467839</v>
      </c>
      <c r="CM11" s="74" t="n">
        <f aca="false">IFERROR(__xludf.dummyfunction("FILTER(FILTER('Data Scenarios 1-2'!$A$2:$BX$105,'Data Scenarios 1-2'!$A$1:$BX$1=""P_Out""),'Data Scenarios 1-2'!$B$2:$B$105=$A11,'Data Scenarios 1-2'!$C$2:$C$105=""All"",'Data Scenarios 1-2'!$D$2:$D$105=""Standard Deviation"")"),0.580329366673613)</f>
        <v>0.580329366673613</v>
      </c>
      <c r="CN11" s="75" t="n">
        <f aca="false">SQRT(AX11^2+BC11^2+BH11^2+BM11^2+BR11^2+BW11^2+CB11^2+CF11^2+CJ11^2)</f>
        <v>1.14949334015058</v>
      </c>
      <c r="CO11" s="74" t="n">
        <f aca="false">IFERROR(__xludf.dummyfunction("FILTER(FILTER('Data Scenarios 1-2'!$A$2:$BX$105,'Data Scenarios 1-2'!$A$1:$BX$1=""P_TransformerLoss""),'Data Scenarios 1-2'!$B$2:$B$105=$A11,'Data Scenarios 1-2'!$C$2:$C$105=""All"",'Data Scenarios 1-2'!$D$2:$D$105=""Standard Deviation"")"),0.185001254099182)</f>
        <v>0.185001254099182</v>
      </c>
      <c r="CP11" s="41" t="n">
        <f aca="false">IFERROR(__xludf.dummyfunction("FILTER(FILTER('Data Scenarios 1-2'!$A$2:$BX$105,'Data Scenarios 1-2'!$A$1:$BX$1=""P_ConverterLoss""),'Data Scenarios 1-2'!$B$2:$B$105=$A11,'Data Scenarios 1-2'!$C$2:$C$105=""All"",'Data Scenarios 1-2'!$D$2:$D$105=""Standard Deviation"")"),1.32011453548886)</f>
        <v>1.32011453548886</v>
      </c>
      <c r="CQ11" s="75" t="n">
        <f aca="false">SQRT(CL11^2+MAX(CM11:CN11)^2)</f>
        <v>1.37987662146257</v>
      </c>
      <c r="CR11" s="41" t="n">
        <f aca="false">IFERROR(__xludf.dummyfunction("FILTER(FILTER('Data Scenarios 1-2'!$A$2:$BX$105,'Data Scenarios 1-2'!$A$1:$BX$1=""P_SystemLoss""),'Data Scenarios 1-2'!$B$2:$B$105=$A11,'Data Scenarios 1-2'!$C$2:$C$105=""All"",'Data Scenarios 1-2'!$D$2:$D$105=""Standard Deviation"")"),1.1715942230978)</f>
        <v>1.1715942230978</v>
      </c>
      <c r="CS11" s="75" t="n">
        <f aca="false">SQRT(CK11^2+MAX(CM11:CN11)^2)</f>
        <v>1.3165770437829</v>
      </c>
      <c r="CT11" s="79" t="n">
        <v>1599.19429501885</v>
      </c>
      <c r="CU11" s="80" t="n">
        <v>1483.85341294676</v>
      </c>
      <c r="CV11" s="80" t="n">
        <v>115.340882072088</v>
      </c>
      <c r="CW11" s="80" t="n">
        <v>200.974704946764</v>
      </c>
      <c r="CX11" s="80" t="n">
        <v>316.315587018852</v>
      </c>
      <c r="CY11" s="45" t="n">
        <f aca="false">CT11-AL11</f>
        <v>15.3074555744099</v>
      </c>
      <c r="CZ11" s="65" t="n">
        <f aca="false">TINV(0.1,2)*CK11/SQRT(3)</f>
        <v>1.08215597063748</v>
      </c>
      <c r="DA11" s="66" t="n">
        <f aca="false">CY11/AL11</f>
        <v>0.00966448813968245</v>
      </c>
      <c r="DB11" s="67" t="n">
        <f aca="false">CZ11/AL11</f>
        <v>0.000683228084032224</v>
      </c>
      <c r="DC11" s="45" t="n">
        <f aca="false">CU11-AM11</f>
        <v>1.57350294676007</v>
      </c>
      <c r="DD11" s="65" t="n">
        <f aca="false">TINV(0.1,2)*CL11/SQRT(3)</f>
        <v>1.28692055486312</v>
      </c>
      <c r="DE11" s="66" t="n">
        <f aca="false">DC11/AM11</f>
        <v>0.00106154238220774</v>
      </c>
      <c r="DF11" s="67" t="n">
        <f aca="false">DD11/AM11</f>
        <v>0.000868203465608005</v>
      </c>
      <c r="DG11" s="45" t="n">
        <f aca="false">CV11-AP11</f>
        <v>13.733952627644</v>
      </c>
      <c r="DH11" s="65" t="n">
        <f aca="false">TINV(0.1,2)*CO11/SQRT(3)</f>
        <v>0.311885189485405</v>
      </c>
      <c r="DI11" s="66" t="n">
        <f aca="false">DG11/AP11</f>
        <v>0.135167480237195</v>
      </c>
      <c r="DJ11" s="66" t="n">
        <f aca="false">DH11/AP11</f>
        <v>0.00306952676545486</v>
      </c>
      <c r="DK11" s="45" t="n">
        <f aca="false">CW11-AR11</f>
        <v>0.647466115748387</v>
      </c>
      <c r="DL11" s="65" t="n">
        <f aca="false">TINV(0.1,2)*CP11/SQRT(3)</f>
        <v>2.22552097848292</v>
      </c>
      <c r="DM11" s="66" t="n">
        <f aca="false">DK11/AR11</f>
        <v>0.00323204232997267</v>
      </c>
      <c r="DN11" s="67" t="n">
        <f aca="false">DL11/AR11</f>
        <v>0.0111094277117264</v>
      </c>
      <c r="DO11" s="45" t="n">
        <f aca="false">CX11-AT11</f>
        <v>14.3814187433963</v>
      </c>
      <c r="DP11" s="65" t="n">
        <f aca="false">TINV(0.1,2)*CR11/SQRT(3)</f>
        <v>1.97513734731206</v>
      </c>
      <c r="DQ11" s="66" t="n">
        <f aca="false">DO11/AT11</f>
        <v>0.0476309747437265</v>
      </c>
      <c r="DR11" s="66" t="n">
        <f aca="false">DP11/AT11</f>
        <v>0.0065416158714112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H12" s="84"/>
      <c r="AL12" s="85"/>
      <c r="AM12" s="84"/>
      <c r="AN12" s="84"/>
      <c r="AP12" s="84"/>
      <c r="AU12" s="84"/>
      <c r="AY12" s="86"/>
      <c r="BE12" s="84"/>
      <c r="BJ12" s="84"/>
      <c r="BO12" s="84"/>
      <c r="BT12" s="84"/>
      <c r="BY12" s="84"/>
      <c r="CC12" s="84"/>
      <c r="CG12" s="54"/>
      <c r="CK12" s="85"/>
      <c r="CL12" s="85"/>
      <c r="CM12" s="84"/>
      <c r="CO12" s="84"/>
      <c r="CT12" s="84"/>
      <c r="CY12" s="84"/>
      <c r="DC12" s="84"/>
      <c r="DG12" s="84"/>
      <c r="DK12" s="84"/>
      <c r="DO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5"/>
      <c r="AM13" s="84"/>
      <c r="AN13" s="84"/>
      <c r="AP13" s="84"/>
      <c r="AU13" s="84"/>
      <c r="AY13" s="86"/>
      <c r="BE13" s="84"/>
      <c r="BJ13" s="84"/>
      <c r="BO13" s="84"/>
      <c r="BT13" s="84"/>
      <c r="BY13" s="84"/>
      <c r="CC13" s="84"/>
      <c r="CG13" s="84"/>
      <c r="CK13" s="85"/>
      <c r="CL13" s="85"/>
      <c r="CM13" s="84"/>
      <c r="CO13" s="84"/>
      <c r="CT13" s="84"/>
      <c r="CY13" s="84"/>
      <c r="DC13" s="84"/>
      <c r="DG13" s="84"/>
      <c r="DK13" s="84"/>
      <c r="DO13" s="84"/>
    </row>
    <row r="14" customFormat="false" ht="12.75" hidden="false" customHeight="tru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5"/>
      <c r="AM14" s="84"/>
      <c r="AN14" s="84"/>
      <c r="AP14" s="84"/>
      <c r="AU14" s="84"/>
      <c r="AY14" s="86"/>
      <c r="BE14" s="84"/>
      <c r="BJ14" s="84"/>
      <c r="BO14" s="84"/>
      <c r="BT14" s="84"/>
      <c r="BY14" s="84"/>
      <c r="CC14" s="84"/>
      <c r="CG14" s="84"/>
      <c r="CK14" s="85"/>
      <c r="CL14" s="85"/>
      <c r="CM14" s="84"/>
      <c r="CO14" s="84"/>
      <c r="CQ14" s="87" t="s">
        <v>112</v>
      </c>
      <c r="CR14" s="87"/>
      <c r="CS14" s="87"/>
      <c r="CT14" s="88" t="n">
        <v>1243.6475822371</v>
      </c>
      <c r="CU14" s="89" t="n">
        <v>1161.39861943824</v>
      </c>
      <c r="CV14" s="89" t="n">
        <v>82.2489627988666</v>
      </c>
      <c r="CW14" s="89" t="n">
        <v>165.228517438236</v>
      </c>
      <c r="CX14" s="89" t="n">
        <v>247.477480237102</v>
      </c>
      <c r="CY14" s="84"/>
      <c r="DC14" s="84"/>
      <c r="DG14" s="84"/>
      <c r="DK14" s="84"/>
      <c r="DO14" s="84"/>
    </row>
    <row r="15" customFormat="false" ht="12.75" hidden="false" customHeight="false" outlineLevel="0" collapsed="false">
      <c r="A15" s="37"/>
      <c r="E15" s="83"/>
      <c r="J15" s="84"/>
      <c r="N15" s="84"/>
      <c r="R15" s="84"/>
      <c r="V15" s="84"/>
      <c r="Z15" s="84"/>
      <c r="AD15" s="84"/>
      <c r="AH15" s="84"/>
      <c r="AL15" s="85"/>
      <c r="AM15" s="84"/>
      <c r="AN15" s="84"/>
      <c r="AP15" s="84"/>
      <c r="AU15" s="84"/>
      <c r="AY15" s="86"/>
      <c r="BE15" s="84"/>
      <c r="BJ15" s="84"/>
      <c r="BO15" s="84"/>
      <c r="BT15" s="84"/>
      <c r="BY15" s="84"/>
      <c r="CC15" s="84"/>
      <c r="CG15" s="84"/>
      <c r="CK15" s="85"/>
      <c r="CL15" s="85"/>
      <c r="CM15" s="84"/>
      <c r="CO15" s="84"/>
      <c r="CQ15" s="87"/>
      <c r="CR15" s="87"/>
      <c r="CS15" s="87"/>
      <c r="CT15" s="90"/>
      <c r="CU15" s="91"/>
      <c r="CV15" s="91"/>
      <c r="CW15" s="91"/>
      <c r="CX15" s="91"/>
      <c r="CY15" s="84"/>
      <c r="DC15" s="84"/>
      <c r="DG15" s="84"/>
      <c r="DK15" s="84"/>
      <c r="DO15" s="84"/>
    </row>
    <row r="16" customFormat="false" ht="12.75" hidden="false" customHeight="false" outlineLevel="0" collapsed="false">
      <c r="A16" s="37"/>
      <c r="E16" s="83"/>
      <c r="J16" s="84"/>
      <c r="N16" s="84"/>
      <c r="R16" s="84"/>
      <c r="V16" s="84"/>
      <c r="Z16" s="84"/>
      <c r="AD16" s="84"/>
      <c r="AH16" s="84"/>
      <c r="AL16" s="85"/>
      <c r="AM16" s="84"/>
      <c r="AN16" s="84"/>
      <c r="AP16" s="84"/>
      <c r="AS16" s="3" t="s">
        <v>113</v>
      </c>
      <c r="AU16" s="84"/>
      <c r="AY16" s="86"/>
      <c r="BE16" s="84"/>
      <c r="BJ16" s="84"/>
      <c r="BO16" s="84"/>
      <c r="BT16" s="84"/>
      <c r="BY16" s="84"/>
      <c r="CC16" s="84"/>
      <c r="CG16" s="84"/>
      <c r="CK16" s="85"/>
      <c r="CL16" s="85"/>
      <c r="CM16" s="84"/>
      <c r="CO16" s="84"/>
      <c r="CQ16" s="92" t="s">
        <v>114</v>
      </c>
      <c r="CR16" s="92"/>
      <c r="CS16" s="92"/>
      <c r="CT16" s="93" t="n">
        <v>1277.53855274678</v>
      </c>
      <c r="CU16" s="94" t="n">
        <v>1161.39861942276</v>
      </c>
      <c r="CV16" s="94" t="n">
        <v>116.139933324027</v>
      </c>
      <c r="CW16" s="95" t="n">
        <v>165.228517422755</v>
      </c>
      <c r="CX16" s="94" t="n">
        <v>281.368450746782</v>
      </c>
      <c r="CY16" s="84"/>
      <c r="DC16" s="84"/>
      <c r="DG16" s="84"/>
      <c r="DK16" s="84"/>
      <c r="DO16" s="84"/>
    </row>
    <row r="17" customFormat="false" ht="12.75" hidden="false" customHeight="false" outlineLevel="0" collapsed="false">
      <c r="A17" s="37"/>
      <c r="B17" s="96"/>
      <c r="E17" s="83"/>
      <c r="J17" s="84"/>
      <c r="N17" s="84"/>
      <c r="R17" s="84"/>
      <c r="V17" s="84"/>
      <c r="Z17" s="84"/>
      <c r="AD17" s="84"/>
      <c r="AH17" s="84"/>
      <c r="AL17" s="85"/>
      <c r="AM17" s="84"/>
      <c r="AN17" s="84"/>
      <c r="AP17" s="84"/>
      <c r="AU17" s="84"/>
      <c r="AY17" s="86"/>
      <c r="BE17" s="84"/>
      <c r="BJ17" s="84"/>
      <c r="BO17" s="84"/>
      <c r="BT17" s="84"/>
      <c r="BY17" s="84"/>
      <c r="CC17" s="84"/>
      <c r="CG17" s="84"/>
      <c r="CK17" s="85"/>
      <c r="CL17" s="85"/>
      <c r="CM17" s="84"/>
      <c r="CO17" s="84"/>
      <c r="CQ17" s="97" t="s">
        <v>115</v>
      </c>
      <c r="CR17" s="97"/>
      <c r="CS17" s="97"/>
      <c r="CT17" s="98" t="n">
        <v>1249.30760407003</v>
      </c>
      <c r="CU17" s="99" t="n">
        <v>1161.39861943971</v>
      </c>
      <c r="CV17" s="99" t="n">
        <v>87.9089846303184</v>
      </c>
      <c r="CW17" s="100" t="n">
        <v>165.228517439709</v>
      </c>
      <c r="CX17" s="99" t="n">
        <v>253.137502070027</v>
      </c>
      <c r="CY17" s="84"/>
      <c r="DC17" s="84"/>
      <c r="DG17" s="84"/>
      <c r="DK17" s="84"/>
      <c r="DO17" s="84"/>
    </row>
    <row r="18" customFormat="false" ht="12.75" hidden="false" customHeight="false" outlineLevel="0" collapsed="false">
      <c r="A18" s="37"/>
      <c r="B18" s="101"/>
      <c r="E18" s="83"/>
      <c r="J18" s="84"/>
      <c r="N18" s="84"/>
      <c r="R18" s="84"/>
      <c r="V18" s="84"/>
      <c r="Z18" s="84"/>
      <c r="AD18" s="84"/>
      <c r="AH18" s="84"/>
      <c r="AL18" s="85"/>
      <c r="AM18" s="84"/>
      <c r="AN18" s="84"/>
      <c r="AP18" s="84"/>
      <c r="AU18" s="84"/>
      <c r="AY18" s="86"/>
      <c r="BE18" s="84"/>
      <c r="BJ18" s="84"/>
      <c r="BO18" s="84"/>
      <c r="BT18" s="84"/>
      <c r="BY18" s="84"/>
      <c r="CC18" s="84"/>
      <c r="CG18" s="84"/>
      <c r="CK18" s="85"/>
      <c r="CL18" s="85"/>
      <c r="CM18" s="84"/>
      <c r="CO18" s="84"/>
      <c r="CT18" s="84"/>
      <c r="CW18" s="41"/>
      <c r="CY18" s="84"/>
      <c r="DC18" s="84"/>
      <c r="DG18" s="84"/>
      <c r="DK18" s="84"/>
      <c r="DO18" s="84"/>
    </row>
    <row r="19" customFormat="false" ht="12.75" hidden="false" customHeight="false" outlineLevel="0" collapsed="false">
      <c r="A19" s="37"/>
      <c r="B19" s="96"/>
      <c r="E19" s="83"/>
      <c r="J19" s="84"/>
      <c r="N19" s="84"/>
      <c r="R19" s="84"/>
      <c r="V19" s="84"/>
      <c r="Z19" s="84"/>
      <c r="AD19" s="84"/>
      <c r="AH19" s="84"/>
      <c r="AL19" s="85"/>
      <c r="AM19" s="84"/>
      <c r="AN19" s="84"/>
      <c r="AP19" s="84"/>
      <c r="AU19" s="84"/>
      <c r="AY19" s="86"/>
      <c r="BE19" s="84"/>
      <c r="BJ19" s="84"/>
      <c r="BO19" s="84"/>
      <c r="BT19" s="84"/>
      <c r="BY19" s="84"/>
      <c r="CC19" s="84"/>
      <c r="CG19" s="84"/>
      <c r="CK19" s="85"/>
      <c r="CL19" s="85"/>
      <c r="CM19" s="84"/>
      <c r="CO19" s="84"/>
      <c r="CT19" s="84"/>
      <c r="CW19" s="41"/>
      <c r="CY19" s="84"/>
      <c r="DC19" s="84"/>
      <c r="DG19" s="84"/>
      <c r="DK19" s="84"/>
      <c r="DO19" s="84"/>
    </row>
    <row r="20" customFormat="false" ht="12.75" hidden="false" customHeight="false" outlineLevel="0" collapsed="false">
      <c r="A20" s="37"/>
      <c r="B20" s="101"/>
      <c r="E20" s="83"/>
      <c r="J20" s="84"/>
      <c r="N20" s="84"/>
      <c r="R20" s="84"/>
      <c r="V20" s="84"/>
      <c r="Z20" s="84"/>
      <c r="AD20" s="84"/>
      <c r="AH20" s="84"/>
      <c r="AL20" s="85"/>
      <c r="AM20" s="84"/>
      <c r="AN20" s="84"/>
      <c r="AP20" s="84"/>
      <c r="AU20" s="84"/>
      <c r="AY20" s="86"/>
      <c r="BE20" s="84"/>
      <c r="BJ20" s="84"/>
      <c r="BO20" s="84"/>
      <c r="BT20" s="84"/>
      <c r="BY20" s="84"/>
      <c r="CC20" s="84"/>
      <c r="CG20" s="84"/>
      <c r="CK20" s="85"/>
      <c r="CL20" s="85"/>
      <c r="CM20" s="84"/>
      <c r="CO20" s="84"/>
      <c r="CT20" s="84"/>
      <c r="CW20" s="41"/>
      <c r="CY20" s="84"/>
      <c r="DC20" s="84"/>
      <c r="DG20" s="84"/>
      <c r="DK20" s="84"/>
      <c r="DO20" s="84"/>
    </row>
    <row r="21" customFormat="false" ht="12.75" hidden="false" customHeight="false" outlineLevel="0" collapsed="false">
      <c r="A21" s="37"/>
      <c r="B21" s="96"/>
      <c r="E21" s="83"/>
      <c r="J21" s="84"/>
      <c r="N21" s="84"/>
      <c r="R21" s="84"/>
      <c r="V21" s="84"/>
      <c r="Z21" s="84"/>
      <c r="AD21" s="84"/>
      <c r="AH21" s="84"/>
      <c r="AL21" s="85"/>
      <c r="AM21" s="84"/>
      <c r="AN21" s="84"/>
      <c r="AP21" s="84"/>
      <c r="AU21" s="84"/>
      <c r="AY21" s="86"/>
      <c r="BE21" s="84"/>
      <c r="BJ21" s="84"/>
      <c r="BO21" s="84"/>
      <c r="BT21" s="84"/>
      <c r="BY21" s="84"/>
      <c r="CC21" s="84"/>
      <c r="CG21" s="84"/>
      <c r="CK21" s="85"/>
      <c r="CL21" s="85"/>
      <c r="CM21" s="84"/>
      <c r="CO21" s="84"/>
      <c r="CT21" s="84"/>
      <c r="CW21" s="41"/>
      <c r="CY21" s="84"/>
      <c r="DC21" s="84"/>
      <c r="DG21" s="84"/>
      <c r="DK21" s="84"/>
      <c r="DO21" s="84"/>
    </row>
    <row r="22" customFormat="false" ht="12.75" hidden="false" customHeight="false" outlineLevel="0" collapsed="false">
      <c r="A22" s="37"/>
      <c r="B22" s="101"/>
      <c r="E22" s="83"/>
      <c r="J22" s="84"/>
      <c r="N22" s="84"/>
      <c r="R22" s="84"/>
      <c r="V22" s="84"/>
      <c r="Z22" s="84"/>
      <c r="AD22" s="84"/>
      <c r="AH22" s="84"/>
      <c r="AL22" s="85"/>
      <c r="AM22" s="84"/>
      <c r="AN22" s="84"/>
      <c r="AP22" s="84"/>
      <c r="AU22" s="84"/>
      <c r="AY22" s="86"/>
      <c r="BE22" s="84"/>
      <c r="BJ22" s="84"/>
      <c r="BO22" s="84"/>
      <c r="BT22" s="84"/>
      <c r="BY22" s="84"/>
      <c r="CC22" s="84"/>
      <c r="CG22" s="84"/>
      <c r="CK22" s="85"/>
      <c r="CL22" s="85"/>
      <c r="CM22" s="84"/>
      <c r="CO22" s="84"/>
      <c r="CT22" s="84"/>
      <c r="CW22" s="41"/>
      <c r="CY22" s="84"/>
      <c r="DC22" s="84"/>
      <c r="DG22" s="84"/>
      <c r="DK22" s="84"/>
      <c r="DO22" s="84"/>
    </row>
    <row r="23" customFormat="false" ht="12.75" hidden="false" customHeight="false" outlineLevel="0" collapsed="false">
      <c r="A23" s="37"/>
      <c r="B23" s="96"/>
      <c r="E23" s="83"/>
      <c r="J23" s="84"/>
      <c r="N23" s="84"/>
      <c r="R23" s="84"/>
      <c r="V23" s="84"/>
      <c r="Z23" s="84"/>
      <c r="AD23" s="84"/>
      <c r="AH23" s="84"/>
      <c r="AL23" s="85"/>
      <c r="AM23" s="84"/>
      <c r="AN23" s="84"/>
      <c r="AP23" s="84"/>
      <c r="AU23" s="84"/>
      <c r="AY23" s="86"/>
      <c r="BE23" s="84"/>
      <c r="BJ23" s="84"/>
      <c r="BO23" s="84"/>
      <c r="BT23" s="84"/>
      <c r="BY23" s="84"/>
      <c r="CC23" s="84"/>
      <c r="CG23" s="84"/>
      <c r="CK23" s="85"/>
      <c r="CL23" s="85"/>
      <c r="CM23" s="84"/>
      <c r="CO23" s="84"/>
      <c r="CT23" s="84"/>
      <c r="CW23" s="41"/>
      <c r="CY23" s="84"/>
      <c r="DC23" s="84"/>
      <c r="DG23" s="84"/>
      <c r="DK23" s="84"/>
      <c r="DO23" s="84"/>
    </row>
    <row r="24" customFormat="false" ht="12.75" hidden="false" customHeight="false" outlineLevel="0" collapsed="false">
      <c r="A24" s="37"/>
      <c r="B24" s="101"/>
      <c r="E24" s="83"/>
      <c r="J24" s="84"/>
      <c r="N24" s="84"/>
      <c r="R24" s="84"/>
      <c r="V24" s="84"/>
      <c r="Z24" s="84"/>
      <c r="AD24" s="84"/>
      <c r="AH24" s="84"/>
      <c r="AL24" s="85"/>
      <c r="AM24" s="84"/>
      <c r="AN24" s="84"/>
      <c r="AP24" s="84"/>
      <c r="AU24" s="84"/>
      <c r="AY24" s="86"/>
      <c r="BE24" s="84"/>
      <c r="BJ24" s="84"/>
      <c r="BO24" s="84"/>
      <c r="BT24" s="84"/>
      <c r="BY24" s="84"/>
      <c r="CC24" s="84"/>
      <c r="CG24" s="84"/>
      <c r="CK24" s="85"/>
      <c r="CL24" s="85"/>
      <c r="CM24" s="84"/>
      <c r="CO24" s="84"/>
      <c r="CT24" s="84"/>
      <c r="CW24" s="41"/>
      <c r="CY24" s="84"/>
      <c r="DC24" s="84"/>
      <c r="DG24" s="84"/>
      <c r="DK24" s="84"/>
      <c r="DO24" s="84"/>
    </row>
    <row r="25" customFormat="false" ht="12.75" hidden="false" customHeight="false" outlineLevel="0" collapsed="false">
      <c r="A25" s="37"/>
      <c r="B25" s="96"/>
      <c r="E25" s="83"/>
      <c r="J25" s="84"/>
      <c r="N25" s="84"/>
      <c r="R25" s="84"/>
      <c r="V25" s="84"/>
      <c r="Z25" s="84"/>
      <c r="AD25" s="84"/>
      <c r="AH25" s="84"/>
      <c r="AL25" s="85"/>
      <c r="AM25" s="84"/>
      <c r="AN25" s="84"/>
      <c r="AP25" s="84"/>
      <c r="AU25" s="84"/>
      <c r="AY25" s="86"/>
      <c r="BE25" s="84"/>
      <c r="BJ25" s="84"/>
      <c r="BO25" s="84"/>
      <c r="BT25" s="84"/>
      <c r="BY25" s="84"/>
      <c r="CC25" s="84"/>
      <c r="CG25" s="84"/>
      <c r="CK25" s="85"/>
      <c r="CL25" s="85"/>
      <c r="CM25" s="84"/>
      <c r="CO25" s="84"/>
      <c r="CT25" s="84"/>
      <c r="CW25" s="41"/>
      <c r="CY25" s="84"/>
      <c r="DC25" s="84"/>
      <c r="DG25" s="84"/>
      <c r="DK25" s="84"/>
      <c r="DO25" s="84"/>
    </row>
    <row r="26" customFormat="false" ht="12.75" hidden="false" customHeight="false" outlineLevel="0" collapsed="false">
      <c r="A26" s="37"/>
      <c r="B26" s="96"/>
      <c r="E26" s="83"/>
      <c r="J26" s="84"/>
      <c r="N26" s="84"/>
      <c r="R26" s="84"/>
      <c r="V26" s="84"/>
      <c r="Z26" s="84"/>
      <c r="AD26" s="84"/>
      <c r="AH26" s="84"/>
      <c r="AL26" s="85"/>
      <c r="AM26" s="84"/>
      <c r="AN26" s="84"/>
      <c r="AP26" s="84"/>
      <c r="AU26" s="84"/>
      <c r="AY26" s="86"/>
      <c r="BE26" s="84"/>
      <c r="BJ26" s="84"/>
      <c r="BO26" s="84"/>
      <c r="BT26" s="84"/>
      <c r="BY26" s="84"/>
      <c r="CC26" s="84"/>
      <c r="CG26" s="84"/>
      <c r="CK26" s="85"/>
      <c r="CL26" s="85"/>
      <c r="CM26" s="84"/>
      <c r="CO26" s="84"/>
      <c r="CT26" s="84"/>
      <c r="CW26" s="41"/>
      <c r="CY26" s="84"/>
      <c r="DC26" s="84"/>
      <c r="DG26" s="84"/>
      <c r="DK26" s="84"/>
      <c r="DO26" s="84"/>
    </row>
    <row r="27" customFormat="false" ht="12.75" hidden="false" customHeight="false" outlineLevel="0" collapsed="false">
      <c r="A27" s="37"/>
      <c r="B27" s="101"/>
      <c r="E27" s="83"/>
      <c r="J27" s="84"/>
      <c r="N27" s="84"/>
      <c r="R27" s="84"/>
      <c r="V27" s="84"/>
      <c r="Z27" s="84"/>
      <c r="AD27" s="84"/>
      <c r="AH27" s="84"/>
      <c r="AL27" s="85"/>
      <c r="AM27" s="84"/>
      <c r="AN27" s="84"/>
      <c r="AP27" s="84"/>
      <c r="AU27" s="84"/>
      <c r="AY27" s="86"/>
      <c r="BE27" s="84"/>
      <c r="BJ27" s="84"/>
      <c r="BO27" s="84"/>
      <c r="BT27" s="84"/>
      <c r="BY27" s="84"/>
      <c r="CC27" s="84"/>
      <c r="CG27" s="84"/>
      <c r="CK27" s="85"/>
      <c r="CL27" s="85"/>
      <c r="CM27" s="84"/>
      <c r="CO27" s="84"/>
      <c r="CT27" s="84"/>
      <c r="CW27" s="41"/>
      <c r="CY27" s="84"/>
      <c r="DC27" s="84"/>
      <c r="DG27" s="84"/>
      <c r="DK27" s="84"/>
      <c r="DO27" s="84"/>
    </row>
    <row r="28" customFormat="false" ht="12.75" hidden="false" customHeight="false" outlineLevel="0" collapsed="false">
      <c r="A28" s="37"/>
      <c r="E28" s="83"/>
      <c r="J28" s="84"/>
      <c r="N28" s="84"/>
      <c r="R28" s="84"/>
      <c r="V28" s="84"/>
      <c r="Z28" s="84"/>
      <c r="AD28" s="84"/>
      <c r="AH28" s="84"/>
      <c r="AL28" s="85"/>
      <c r="AM28" s="84"/>
      <c r="AN28" s="84"/>
      <c r="AP28" s="84"/>
      <c r="AU28" s="84"/>
      <c r="AY28" s="86"/>
      <c r="BE28" s="84"/>
      <c r="BJ28" s="84"/>
      <c r="BO28" s="84"/>
      <c r="BT28" s="84"/>
      <c r="BY28" s="84"/>
      <c r="CC28" s="84"/>
      <c r="CG28" s="84"/>
      <c r="CK28" s="85"/>
      <c r="CL28" s="85"/>
      <c r="CM28" s="84"/>
      <c r="CO28" s="84"/>
      <c r="CT28" s="84"/>
      <c r="CW28" s="41"/>
      <c r="CY28" s="84"/>
      <c r="DC28" s="84"/>
      <c r="DG28" s="84"/>
      <c r="DK28" s="84"/>
      <c r="DO28" s="84"/>
    </row>
    <row r="29" customFormat="false" ht="12.75" hidden="false" customHeight="false" outlineLevel="0" collapsed="false">
      <c r="A29" s="37"/>
      <c r="E29" s="83"/>
      <c r="J29" s="84"/>
      <c r="N29" s="84"/>
      <c r="R29" s="84"/>
      <c r="V29" s="84"/>
      <c r="Z29" s="84"/>
      <c r="AD29" s="84"/>
      <c r="AH29" s="84"/>
      <c r="AL29" s="85"/>
      <c r="AM29" s="84"/>
      <c r="AN29" s="84"/>
      <c r="AP29" s="84"/>
      <c r="AU29" s="84"/>
      <c r="AY29" s="86"/>
      <c r="BE29" s="84"/>
      <c r="BJ29" s="84"/>
      <c r="BO29" s="84"/>
      <c r="BT29" s="84"/>
      <c r="BY29" s="84"/>
      <c r="CC29" s="84"/>
      <c r="CG29" s="84"/>
      <c r="CK29" s="85"/>
      <c r="CL29" s="85"/>
      <c r="CM29" s="84"/>
      <c r="CO29" s="84"/>
      <c r="CT29" s="84"/>
      <c r="CY29" s="84"/>
      <c r="DC29" s="84"/>
      <c r="DG29" s="84"/>
      <c r="DK29" s="84"/>
      <c r="DO29" s="84"/>
    </row>
    <row r="30" customFormat="false" ht="12.75" hidden="false" customHeight="false" outlineLevel="0" collapsed="false">
      <c r="A30" s="37"/>
      <c r="E30" s="83"/>
      <c r="J30" s="84"/>
      <c r="N30" s="84"/>
      <c r="R30" s="84"/>
      <c r="V30" s="84"/>
      <c r="Z30" s="84"/>
      <c r="AD30" s="84"/>
      <c r="AH30" s="84"/>
      <c r="AL30" s="85"/>
      <c r="AM30" s="84"/>
      <c r="AN30" s="84"/>
      <c r="AP30" s="84"/>
      <c r="AU30" s="84"/>
      <c r="AY30" s="86"/>
      <c r="BE30" s="84"/>
      <c r="BJ30" s="84"/>
      <c r="BO30" s="84"/>
      <c r="BT30" s="84"/>
      <c r="BY30" s="84"/>
      <c r="CC30" s="84"/>
      <c r="CG30" s="84"/>
      <c r="CK30" s="85"/>
      <c r="CL30" s="85"/>
      <c r="CM30" s="84"/>
      <c r="CO30" s="84"/>
      <c r="CT30" s="84"/>
      <c r="CY30" s="84"/>
      <c r="DC30" s="84"/>
      <c r="DG30" s="84"/>
      <c r="DK30" s="84"/>
      <c r="DO30" s="84"/>
    </row>
    <row r="31" customFormat="false" ht="12.75" hidden="false" customHeight="false" outlineLevel="0" collapsed="false">
      <c r="A31" s="37"/>
      <c r="E31" s="83"/>
      <c r="J31" s="84"/>
      <c r="N31" s="84"/>
      <c r="R31" s="84"/>
      <c r="V31" s="84"/>
      <c r="Z31" s="84"/>
      <c r="AD31" s="84"/>
      <c r="AH31" s="84"/>
      <c r="AL31" s="85"/>
      <c r="AM31" s="84"/>
      <c r="AN31" s="84"/>
      <c r="AP31" s="84"/>
      <c r="AU31" s="84"/>
      <c r="AY31" s="86"/>
      <c r="BE31" s="84"/>
      <c r="BJ31" s="84"/>
      <c r="BO31" s="84"/>
      <c r="BT31" s="84"/>
      <c r="BY31" s="84"/>
      <c r="CC31" s="84"/>
      <c r="CG31" s="84"/>
      <c r="CK31" s="85"/>
      <c r="CL31" s="85"/>
      <c r="CM31" s="84"/>
      <c r="CO31" s="84"/>
      <c r="CT31" s="84"/>
      <c r="CY31" s="84"/>
      <c r="DC31" s="84"/>
      <c r="DG31" s="84"/>
      <c r="DK31" s="84"/>
      <c r="DO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84"/>
      <c r="AD32" s="84"/>
      <c r="AH32" s="84"/>
      <c r="AL32" s="85"/>
      <c r="AM32" s="84"/>
      <c r="AN32" s="84"/>
      <c r="AP32" s="84"/>
      <c r="AU32" s="84"/>
      <c r="AY32" s="86"/>
      <c r="BE32" s="84"/>
      <c r="BJ32" s="84"/>
      <c r="BO32" s="84"/>
      <c r="BT32" s="84"/>
      <c r="BY32" s="84"/>
      <c r="CC32" s="84"/>
      <c r="CG32" s="84"/>
      <c r="CK32" s="85"/>
      <c r="CL32" s="85"/>
      <c r="CM32" s="84"/>
      <c r="CO32" s="84"/>
      <c r="CT32" s="84"/>
      <c r="CY32" s="84"/>
      <c r="DC32" s="84"/>
      <c r="DG32" s="84"/>
      <c r="DK32" s="84"/>
      <c r="DO32" s="84"/>
    </row>
    <row r="33" customFormat="false" ht="12.75" hidden="false" customHeight="false" outlineLevel="0" collapsed="false">
      <c r="A33" s="37"/>
      <c r="E33" s="83"/>
      <c r="J33" s="84"/>
      <c r="N33" s="84"/>
      <c r="R33" s="84"/>
      <c r="V33" s="84"/>
      <c r="Z33" s="84"/>
      <c r="AD33" s="84"/>
      <c r="AH33" s="84"/>
      <c r="AL33" s="85"/>
      <c r="AM33" s="84"/>
      <c r="AN33" s="84"/>
      <c r="AP33" s="84"/>
      <c r="AU33" s="84"/>
      <c r="AY33" s="86"/>
      <c r="BE33" s="84"/>
      <c r="BJ33" s="84"/>
      <c r="BO33" s="84"/>
      <c r="BT33" s="84"/>
      <c r="BY33" s="84"/>
      <c r="CC33" s="84"/>
      <c r="CG33" s="84"/>
      <c r="CK33" s="85"/>
      <c r="CL33" s="85"/>
      <c r="CM33" s="84"/>
      <c r="CO33" s="84"/>
      <c r="CT33" s="84"/>
      <c r="CY33" s="84"/>
      <c r="DC33" s="84"/>
      <c r="DG33" s="84"/>
      <c r="DK33" s="84"/>
      <c r="DO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84"/>
      <c r="AD34" s="84"/>
      <c r="AH34" s="84"/>
      <c r="AL34" s="85"/>
      <c r="AM34" s="84"/>
      <c r="AN34" s="84"/>
      <c r="AP34" s="84"/>
      <c r="AU34" s="84"/>
      <c r="AY34" s="86"/>
      <c r="BE34" s="84"/>
      <c r="BJ34" s="84"/>
      <c r="BO34" s="84"/>
      <c r="BT34" s="84"/>
      <c r="BY34" s="84"/>
      <c r="CC34" s="84"/>
      <c r="CG34" s="84"/>
      <c r="CK34" s="85"/>
      <c r="CL34" s="85"/>
      <c r="CM34" s="84"/>
      <c r="CO34" s="84"/>
      <c r="CT34" s="84"/>
      <c r="CY34" s="84"/>
      <c r="DC34" s="84"/>
      <c r="DG34" s="84"/>
      <c r="DK34" s="84"/>
      <c r="DO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84"/>
      <c r="AD35" s="84"/>
      <c r="AH35" s="84"/>
      <c r="AL35" s="85"/>
      <c r="AM35" s="84"/>
      <c r="AN35" s="84"/>
      <c r="AP35" s="84"/>
      <c r="AU35" s="84"/>
      <c r="AY35" s="86"/>
      <c r="BE35" s="84"/>
      <c r="BJ35" s="84"/>
      <c r="BO35" s="84"/>
      <c r="BT35" s="84"/>
      <c r="BY35" s="84"/>
      <c r="CC35" s="84"/>
      <c r="CG35" s="84"/>
      <c r="CK35" s="85"/>
      <c r="CL35" s="85"/>
      <c r="CM35" s="84"/>
      <c r="CO35" s="84"/>
      <c r="CT35" s="84"/>
      <c r="CY35" s="84"/>
      <c r="DC35" s="84"/>
      <c r="DG35" s="84"/>
      <c r="DK35" s="84"/>
      <c r="DO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84"/>
      <c r="AD36" s="84"/>
      <c r="AH36" s="84"/>
      <c r="AL36" s="85"/>
      <c r="AM36" s="84"/>
      <c r="AN36" s="84"/>
      <c r="AP36" s="84"/>
      <c r="AU36" s="84"/>
      <c r="AY36" s="86"/>
      <c r="BE36" s="84"/>
      <c r="BJ36" s="84"/>
      <c r="BO36" s="84"/>
      <c r="BT36" s="84"/>
      <c r="BY36" s="84"/>
      <c r="CC36" s="84"/>
      <c r="CG36" s="84"/>
      <c r="CK36" s="85"/>
      <c r="CL36" s="85"/>
      <c r="CM36" s="84"/>
      <c r="CO36" s="84"/>
      <c r="CT36" s="84"/>
      <c r="CY36" s="84"/>
      <c r="DC36" s="84"/>
      <c r="DG36" s="84"/>
      <c r="DK36" s="84"/>
      <c r="DO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84"/>
      <c r="AD37" s="84"/>
      <c r="AH37" s="84"/>
      <c r="AL37" s="85"/>
      <c r="AM37" s="84"/>
      <c r="AN37" s="84"/>
      <c r="AP37" s="84"/>
      <c r="AU37" s="84"/>
      <c r="AY37" s="86"/>
      <c r="BE37" s="84"/>
      <c r="BJ37" s="84"/>
      <c r="BO37" s="84"/>
      <c r="BT37" s="84"/>
      <c r="BY37" s="84"/>
      <c r="CC37" s="84"/>
      <c r="CG37" s="84"/>
      <c r="CK37" s="85"/>
      <c r="CL37" s="85"/>
      <c r="CM37" s="84"/>
      <c r="CO37" s="84"/>
      <c r="CT37" s="84"/>
      <c r="CY37" s="84"/>
      <c r="DC37" s="84"/>
      <c r="DG37" s="84"/>
      <c r="DK37" s="84"/>
      <c r="DO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84"/>
      <c r="AD38" s="84"/>
      <c r="AH38" s="84"/>
      <c r="AL38" s="85"/>
      <c r="AM38" s="84"/>
      <c r="AN38" s="84"/>
      <c r="AP38" s="84"/>
      <c r="AU38" s="84"/>
      <c r="AY38" s="86"/>
      <c r="BE38" s="84"/>
      <c r="BJ38" s="84"/>
      <c r="BO38" s="84"/>
      <c r="BT38" s="84"/>
      <c r="BY38" s="84"/>
      <c r="CC38" s="84"/>
      <c r="CG38" s="84"/>
      <c r="CK38" s="85"/>
      <c r="CL38" s="85"/>
      <c r="CM38" s="84"/>
      <c r="CO38" s="84"/>
      <c r="CT38" s="84"/>
      <c r="CY38" s="84"/>
      <c r="DC38" s="84"/>
      <c r="DG38" s="84"/>
      <c r="DK38" s="84"/>
      <c r="DO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84"/>
      <c r="AD39" s="84"/>
      <c r="AH39" s="84"/>
      <c r="AL39" s="85"/>
      <c r="AM39" s="84"/>
      <c r="AN39" s="84"/>
      <c r="AP39" s="84"/>
      <c r="AU39" s="84"/>
      <c r="AY39" s="86"/>
      <c r="BE39" s="84"/>
      <c r="BJ39" s="84"/>
      <c r="BO39" s="84"/>
      <c r="BT39" s="84"/>
      <c r="BY39" s="84"/>
      <c r="CC39" s="84"/>
      <c r="CG39" s="84"/>
      <c r="CK39" s="85"/>
      <c r="CL39" s="85"/>
      <c r="CM39" s="84"/>
      <c r="CO39" s="84"/>
      <c r="CT39" s="84"/>
      <c r="CY39" s="84"/>
      <c r="DC39" s="84"/>
      <c r="DG39" s="84"/>
      <c r="DK39" s="84"/>
      <c r="DO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84"/>
      <c r="AD40" s="84"/>
      <c r="AH40" s="84"/>
      <c r="AL40" s="85"/>
      <c r="AM40" s="84"/>
      <c r="AN40" s="84"/>
      <c r="AP40" s="84"/>
      <c r="AU40" s="84"/>
      <c r="AY40" s="86"/>
      <c r="BE40" s="84"/>
      <c r="BJ40" s="84"/>
      <c r="BO40" s="84"/>
      <c r="BT40" s="84"/>
      <c r="BY40" s="84"/>
      <c r="CC40" s="84"/>
      <c r="CG40" s="84"/>
      <c r="CK40" s="85"/>
      <c r="CL40" s="85"/>
      <c r="CM40" s="84"/>
      <c r="CO40" s="84"/>
      <c r="CT40" s="84"/>
      <c r="CY40" s="84"/>
      <c r="DC40" s="84"/>
      <c r="DG40" s="84"/>
      <c r="DK40" s="84"/>
      <c r="DO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84"/>
      <c r="AD41" s="84"/>
      <c r="AH41" s="84"/>
      <c r="AL41" s="85"/>
      <c r="AM41" s="84"/>
      <c r="AN41" s="84"/>
      <c r="AP41" s="84"/>
      <c r="AU41" s="84"/>
      <c r="AY41" s="86"/>
      <c r="BE41" s="84"/>
      <c r="BJ41" s="84"/>
      <c r="BO41" s="84"/>
      <c r="BT41" s="84"/>
      <c r="BY41" s="84"/>
      <c r="CC41" s="84"/>
      <c r="CG41" s="84"/>
      <c r="CK41" s="85"/>
      <c r="CL41" s="85"/>
      <c r="CM41" s="84"/>
      <c r="CO41" s="84"/>
      <c r="CT41" s="84"/>
      <c r="CY41" s="84"/>
      <c r="DC41" s="84"/>
      <c r="DG41" s="84"/>
      <c r="DK41" s="84"/>
      <c r="DO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84"/>
      <c r="AD42" s="84"/>
      <c r="AH42" s="84"/>
      <c r="AL42" s="85"/>
      <c r="AM42" s="84"/>
      <c r="AN42" s="84"/>
      <c r="AP42" s="84"/>
      <c r="AU42" s="84"/>
      <c r="AY42" s="86"/>
      <c r="BE42" s="84"/>
      <c r="BJ42" s="84"/>
      <c r="BO42" s="84"/>
      <c r="BT42" s="84"/>
      <c r="BY42" s="84"/>
      <c r="CC42" s="84"/>
      <c r="CG42" s="84"/>
      <c r="CK42" s="85"/>
      <c r="CL42" s="85"/>
      <c r="CM42" s="84"/>
      <c r="CO42" s="84"/>
      <c r="CT42" s="84"/>
      <c r="CY42" s="84"/>
      <c r="DC42" s="84"/>
      <c r="DG42" s="84"/>
      <c r="DK42" s="84"/>
      <c r="DO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84"/>
      <c r="AD43" s="84"/>
      <c r="AH43" s="84"/>
      <c r="AL43" s="85"/>
      <c r="AM43" s="84"/>
      <c r="AN43" s="84"/>
      <c r="AP43" s="84"/>
      <c r="AU43" s="84"/>
      <c r="AY43" s="86"/>
      <c r="BE43" s="84"/>
      <c r="BJ43" s="84"/>
      <c r="BO43" s="84"/>
      <c r="BT43" s="84"/>
      <c r="BY43" s="84"/>
      <c r="CC43" s="84"/>
      <c r="CG43" s="84"/>
      <c r="CK43" s="85"/>
      <c r="CL43" s="85"/>
      <c r="CM43" s="84"/>
      <c r="CO43" s="84"/>
      <c r="CT43" s="84"/>
      <c r="CY43" s="84"/>
      <c r="DC43" s="84"/>
      <c r="DG43" s="84"/>
      <c r="DK43" s="84"/>
      <c r="DO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84"/>
      <c r="AD44" s="84"/>
      <c r="AH44" s="84"/>
      <c r="AL44" s="85"/>
      <c r="AM44" s="84"/>
      <c r="AN44" s="84"/>
      <c r="AP44" s="84"/>
      <c r="AU44" s="84"/>
      <c r="AY44" s="86"/>
      <c r="BE44" s="84"/>
      <c r="BJ44" s="84"/>
      <c r="BO44" s="84"/>
      <c r="BT44" s="84"/>
      <c r="BY44" s="84"/>
      <c r="CC44" s="84"/>
      <c r="CG44" s="84"/>
      <c r="CK44" s="85"/>
      <c r="CL44" s="85"/>
      <c r="CM44" s="84"/>
      <c r="CO44" s="84"/>
      <c r="CT44" s="84"/>
      <c r="CY44" s="84"/>
      <c r="DC44" s="84"/>
      <c r="DG44" s="84"/>
      <c r="DK44" s="84"/>
      <c r="DO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84"/>
      <c r="AD45" s="84"/>
      <c r="AH45" s="84"/>
      <c r="AL45" s="85"/>
      <c r="AM45" s="84"/>
      <c r="AN45" s="84"/>
      <c r="AP45" s="84"/>
      <c r="AU45" s="84"/>
      <c r="AY45" s="86"/>
      <c r="BE45" s="84"/>
      <c r="BJ45" s="84"/>
      <c r="BO45" s="84"/>
      <c r="BT45" s="84"/>
      <c r="BY45" s="84"/>
      <c r="CC45" s="84"/>
      <c r="CG45" s="84"/>
      <c r="CK45" s="85"/>
      <c r="CL45" s="85"/>
      <c r="CM45" s="84"/>
      <c r="CO45" s="84"/>
      <c r="CT45" s="84"/>
      <c r="CY45" s="84"/>
      <c r="DC45" s="84"/>
      <c r="DG45" s="84"/>
      <c r="DK45" s="84"/>
      <c r="DO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84"/>
      <c r="AD46" s="84"/>
      <c r="AH46" s="84"/>
      <c r="AL46" s="85"/>
      <c r="AM46" s="84"/>
      <c r="AN46" s="84"/>
      <c r="AP46" s="84"/>
      <c r="AU46" s="84"/>
      <c r="AY46" s="86"/>
      <c r="BE46" s="84"/>
      <c r="BJ46" s="84"/>
      <c r="BO46" s="84"/>
      <c r="BT46" s="84"/>
      <c r="BY46" s="84"/>
      <c r="CC46" s="84"/>
      <c r="CG46" s="84"/>
      <c r="CK46" s="85"/>
      <c r="CL46" s="85"/>
      <c r="CM46" s="84"/>
      <c r="CO46" s="84"/>
      <c r="CT46" s="84"/>
      <c r="CY46" s="84"/>
      <c r="DC46" s="84"/>
      <c r="DG46" s="84"/>
      <c r="DK46" s="84"/>
      <c r="DO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84"/>
      <c r="AD47" s="84"/>
      <c r="AH47" s="84"/>
      <c r="AL47" s="85"/>
      <c r="AM47" s="84"/>
      <c r="AN47" s="84"/>
      <c r="AP47" s="84"/>
      <c r="AU47" s="84"/>
      <c r="AY47" s="86"/>
      <c r="BE47" s="84"/>
      <c r="BJ47" s="84"/>
      <c r="BO47" s="84"/>
      <c r="BT47" s="84"/>
      <c r="BY47" s="84"/>
      <c r="CC47" s="84"/>
      <c r="CG47" s="84"/>
      <c r="CK47" s="85"/>
      <c r="CL47" s="85"/>
      <c r="CM47" s="84"/>
      <c r="CO47" s="84"/>
      <c r="CT47" s="84"/>
      <c r="CY47" s="84"/>
      <c r="DC47" s="84"/>
      <c r="DG47" s="84"/>
      <c r="DK47" s="84"/>
      <c r="DO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84"/>
      <c r="AD48" s="84"/>
      <c r="AH48" s="84"/>
      <c r="AL48" s="85"/>
      <c r="AM48" s="84"/>
      <c r="AN48" s="84"/>
      <c r="AP48" s="84"/>
      <c r="AU48" s="84"/>
      <c r="AY48" s="86"/>
      <c r="BE48" s="84"/>
      <c r="BJ48" s="84"/>
      <c r="BO48" s="84"/>
      <c r="BT48" s="84"/>
      <c r="BY48" s="84"/>
      <c r="CC48" s="84"/>
      <c r="CG48" s="84"/>
      <c r="CK48" s="85"/>
      <c r="CL48" s="85"/>
      <c r="CM48" s="84"/>
      <c r="CO48" s="84"/>
      <c r="CT48" s="84"/>
      <c r="CY48" s="84"/>
      <c r="DC48" s="84"/>
      <c r="DG48" s="84"/>
      <c r="DK48" s="84"/>
      <c r="DO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84"/>
      <c r="AD49" s="84"/>
      <c r="AH49" s="84"/>
      <c r="AL49" s="85"/>
      <c r="AM49" s="84"/>
      <c r="AN49" s="84"/>
      <c r="AP49" s="84"/>
      <c r="AU49" s="84"/>
      <c r="AY49" s="86"/>
      <c r="BE49" s="84"/>
      <c r="BJ49" s="84"/>
      <c r="BO49" s="84"/>
      <c r="BT49" s="84"/>
      <c r="BY49" s="84"/>
      <c r="CC49" s="84"/>
      <c r="CG49" s="84"/>
      <c r="CK49" s="85"/>
      <c r="CL49" s="85"/>
      <c r="CM49" s="84"/>
      <c r="CO49" s="84"/>
      <c r="CT49" s="84"/>
      <c r="CY49" s="84"/>
      <c r="DC49" s="84"/>
      <c r="DG49" s="84"/>
      <c r="DK49" s="84"/>
      <c r="DO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84"/>
      <c r="AD50" s="84"/>
      <c r="AH50" s="84"/>
      <c r="AL50" s="85"/>
      <c r="AM50" s="84"/>
      <c r="AN50" s="84"/>
      <c r="AP50" s="84"/>
      <c r="AU50" s="84"/>
      <c r="AY50" s="86"/>
      <c r="BE50" s="84"/>
      <c r="BJ50" s="84"/>
      <c r="BO50" s="84"/>
      <c r="BT50" s="84"/>
      <c r="BY50" s="84"/>
      <c r="CC50" s="84"/>
      <c r="CG50" s="84"/>
      <c r="CK50" s="85"/>
      <c r="CL50" s="85"/>
      <c r="CM50" s="84"/>
      <c r="CO50" s="84"/>
      <c r="CT50" s="84"/>
      <c r="CY50" s="84"/>
      <c r="DC50" s="84"/>
      <c r="DG50" s="84"/>
      <c r="DK50" s="84"/>
      <c r="DO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84"/>
      <c r="AD51" s="84"/>
      <c r="AH51" s="84"/>
      <c r="AL51" s="85"/>
      <c r="AM51" s="84"/>
      <c r="AN51" s="84"/>
      <c r="AP51" s="84"/>
      <c r="AU51" s="84"/>
      <c r="AY51" s="86"/>
      <c r="BE51" s="84"/>
      <c r="BJ51" s="84"/>
      <c r="BO51" s="84"/>
      <c r="BT51" s="84"/>
      <c r="BY51" s="84"/>
      <c r="CC51" s="84"/>
      <c r="CG51" s="84"/>
      <c r="CK51" s="85"/>
      <c r="CL51" s="85"/>
      <c r="CM51" s="84"/>
      <c r="CO51" s="84"/>
      <c r="CT51" s="84"/>
      <c r="CY51" s="84"/>
      <c r="DC51" s="84"/>
      <c r="DG51" s="84"/>
      <c r="DK51" s="84"/>
      <c r="DO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84"/>
      <c r="AD52" s="84"/>
      <c r="AH52" s="84"/>
      <c r="AL52" s="85"/>
      <c r="AM52" s="84"/>
      <c r="AN52" s="84"/>
      <c r="AP52" s="84"/>
      <c r="AU52" s="84"/>
      <c r="AY52" s="86"/>
      <c r="BE52" s="84"/>
      <c r="BJ52" s="84"/>
      <c r="BO52" s="84"/>
      <c r="BT52" s="84"/>
      <c r="BY52" s="84"/>
      <c r="CC52" s="84"/>
      <c r="CG52" s="84"/>
      <c r="CK52" s="85"/>
      <c r="CL52" s="85"/>
      <c r="CM52" s="84"/>
      <c r="CO52" s="84"/>
      <c r="CT52" s="84"/>
      <c r="CY52" s="84"/>
      <c r="DC52" s="84"/>
      <c r="DG52" s="84"/>
      <c r="DK52" s="84"/>
      <c r="DO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84"/>
      <c r="AD53" s="84"/>
      <c r="AH53" s="84"/>
      <c r="AL53" s="85"/>
      <c r="AM53" s="84"/>
      <c r="AN53" s="84"/>
      <c r="AP53" s="84"/>
      <c r="AU53" s="84"/>
      <c r="AY53" s="86"/>
      <c r="BE53" s="84"/>
      <c r="BJ53" s="84"/>
      <c r="BO53" s="84"/>
      <c r="BT53" s="84"/>
      <c r="BY53" s="84"/>
      <c r="CC53" s="84"/>
      <c r="CG53" s="84"/>
      <c r="CK53" s="85"/>
      <c r="CL53" s="85"/>
      <c r="CM53" s="84"/>
      <c r="CO53" s="84"/>
      <c r="CT53" s="84"/>
      <c r="CY53" s="84"/>
      <c r="DC53" s="84"/>
      <c r="DG53" s="84"/>
      <c r="DK53" s="84"/>
      <c r="DO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84"/>
      <c r="AD54" s="84"/>
      <c r="AH54" s="84"/>
      <c r="AL54" s="85"/>
      <c r="AM54" s="84"/>
      <c r="AN54" s="84"/>
      <c r="AP54" s="84"/>
      <c r="AU54" s="84"/>
      <c r="AY54" s="86"/>
      <c r="BE54" s="84"/>
      <c r="BJ54" s="84"/>
      <c r="BO54" s="84"/>
      <c r="BT54" s="84"/>
      <c r="BY54" s="84"/>
      <c r="CC54" s="84"/>
      <c r="CG54" s="84"/>
      <c r="CK54" s="85"/>
      <c r="CL54" s="85"/>
      <c r="CM54" s="84"/>
      <c r="CO54" s="84"/>
      <c r="CT54" s="84"/>
      <c r="CY54" s="84"/>
      <c r="DC54" s="84"/>
      <c r="DG54" s="84"/>
      <c r="DK54" s="84"/>
      <c r="DO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84"/>
      <c r="AD55" s="84"/>
      <c r="AH55" s="84"/>
      <c r="AL55" s="85"/>
      <c r="AM55" s="84"/>
      <c r="AN55" s="84"/>
      <c r="AP55" s="84"/>
      <c r="AU55" s="84"/>
      <c r="AY55" s="86"/>
      <c r="BE55" s="84"/>
      <c r="BJ55" s="84"/>
      <c r="BO55" s="84"/>
      <c r="BT55" s="84"/>
      <c r="BY55" s="84"/>
      <c r="CC55" s="84"/>
      <c r="CG55" s="84"/>
      <c r="CK55" s="85"/>
      <c r="CL55" s="85"/>
      <c r="CM55" s="84"/>
      <c r="CO55" s="84"/>
      <c r="CT55" s="84"/>
      <c r="CY55" s="84"/>
      <c r="DC55" s="84"/>
      <c r="DG55" s="84"/>
      <c r="DK55" s="84"/>
      <c r="DO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84"/>
      <c r="AD56" s="84"/>
      <c r="AH56" s="84"/>
      <c r="AL56" s="85"/>
      <c r="AM56" s="84"/>
      <c r="AN56" s="84"/>
      <c r="AP56" s="84"/>
      <c r="AU56" s="84"/>
      <c r="AY56" s="86"/>
      <c r="BE56" s="84"/>
      <c r="BJ56" s="84"/>
      <c r="BO56" s="84"/>
      <c r="BT56" s="84"/>
      <c r="BY56" s="84"/>
      <c r="CC56" s="84"/>
      <c r="CG56" s="84"/>
      <c r="CK56" s="85"/>
      <c r="CL56" s="85"/>
      <c r="CM56" s="84"/>
      <c r="CO56" s="84"/>
      <c r="CT56" s="84"/>
      <c r="CY56" s="84"/>
      <c r="DC56" s="84"/>
      <c r="DG56" s="84"/>
      <c r="DK56" s="84"/>
      <c r="DO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84"/>
      <c r="AD57" s="84"/>
      <c r="AH57" s="84"/>
      <c r="AL57" s="85"/>
      <c r="AM57" s="84"/>
      <c r="AN57" s="84"/>
      <c r="AP57" s="84"/>
      <c r="AU57" s="84"/>
      <c r="AY57" s="86"/>
      <c r="BE57" s="84"/>
      <c r="BJ57" s="84"/>
      <c r="BO57" s="84"/>
      <c r="BT57" s="84"/>
      <c r="BY57" s="84"/>
      <c r="CC57" s="84"/>
      <c r="CG57" s="84"/>
      <c r="CK57" s="85"/>
      <c r="CL57" s="85"/>
      <c r="CM57" s="84"/>
      <c r="CO57" s="84"/>
      <c r="CT57" s="84"/>
      <c r="CY57" s="84"/>
      <c r="DC57" s="84"/>
      <c r="DG57" s="84"/>
      <c r="DK57" s="84"/>
      <c r="DO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84"/>
      <c r="AD58" s="84"/>
      <c r="AH58" s="84"/>
      <c r="AL58" s="85"/>
      <c r="AM58" s="84"/>
      <c r="AN58" s="84"/>
      <c r="AP58" s="84"/>
      <c r="AU58" s="84"/>
      <c r="AY58" s="86"/>
      <c r="BE58" s="84"/>
      <c r="BJ58" s="84"/>
      <c r="BO58" s="84"/>
      <c r="BT58" s="84"/>
      <c r="BY58" s="84"/>
      <c r="CC58" s="84"/>
      <c r="CG58" s="84"/>
      <c r="CK58" s="85"/>
      <c r="CL58" s="85"/>
      <c r="CM58" s="84"/>
      <c r="CO58" s="84"/>
      <c r="CT58" s="84"/>
      <c r="CY58" s="84"/>
      <c r="DC58" s="84"/>
      <c r="DG58" s="84"/>
      <c r="DK58" s="84"/>
      <c r="DO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84"/>
      <c r="AD59" s="84"/>
      <c r="AH59" s="84"/>
      <c r="AL59" s="85"/>
      <c r="AM59" s="84"/>
      <c r="AN59" s="84"/>
      <c r="AP59" s="84"/>
      <c r="AU59" s="84"/>
      <c r="AY59" s="86"/>
      <c r="BE59" s="84"/>
      <c r="BJ59" s="84"/>
      <c r="BO59" s="84"/>
      <c r="BT59" s="84"/>
      <c r="BY59" s="84"/>
      <c r="CC59" s="84"/>
      <c r="CG59" s="84"/>
      <c r="CK59" s="85"/>
      <c r="CL59" s="85"/>
      <c r="CM59" s="84"/>
      <c r="CO59" s="84"/>
      <c r="CT59" s="84"/>
      <c r="CY59" s="84"/>
      <c r="DC59" s="84"/>
      <c r="DG59" s="84"/>
      <c r="DK59" s="84"/>
      <c r="DO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84"/>
      <c r="AD60" s="84"/>
      <c r="AH60" s="84"/>
      <c r="AL60" s="85"/>
      <c r="AM60" s="84"/>
      <c r="AN60" s="84"/>
      <c r="AP60" s="84"/>
      <c r="AU60" s="84"/>
      <c r="AY60" s="86"/>
      <c r="BE60" s="84"/>
      <c r="BJ60" s="84"/>
      <c r="BO60" s="84"/>
      <c r="BT60" s="84"/>
      <c r="BY60" s="84"/>
      <c r="CC60" s="84"/>
      <c r="CG60" s="84"/>
      <c r="CK60" s="85"/>
      <c r="CL60" s="85"/>
      <c r="CM60" s="84"/>
      <c r="CO60" s="84"/>
      <c r="CT60" s="84"/>
      <c r="CY60" s="84"/>
      <c r="DC60" s="84"/>
      <c r="DG60" s="84"/>
      <c r="DK60" s="84"/>
      <c r="DO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84"/>
      <c r="AD61" s="84"/>
      <c r="AH61" s="84"/>
      <c r="AL61" s="85"/>
      <c r="AM61" s="84"/>
      <c r="AN61" s="84"/>
      <c r="AP61" s="84"/>
      <c r="AU61" s="84"/>
      <c r="AY61" s="86"/>
      <c r="BE61" s="84"/>
      <c r="BJ61" s="84"/>
      <c r="BO61" s="84"/>
      <c r="BT61" s="84"/>
      <c r="BY61" s="84"/>
      <c r="CC61" s="84"/>
      <c r="CG61" s="84"/>
      <c r="CK61" s="85"/>
      <c r="CL61" s="85"/>
      <c r="CM61" s="84"/>
      <c r="CO61" s="84"/>
      <c r="CT61" s="84"/>
      <c r="CY61" s="84"/>
      <c r="DC61" s="84"/>
      <c r="DG61" s="84"/>
      <c r="DK61" s="84"/>
      <c r="DO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84"/>
      <c r="AD62" s="84"/>
      <c r="AH62" s="84"/>
      <c r="AL62" s="85"/>
      <c r="AM62" s="84"/>
      <c r="AN62" s="84"/>
      <c r="AP62" s="84"/>
      <c r="AU62" s="84"/>
      <c r="AY62" s="86"/>
      <c r="BE62" s="84"/>
      <c r="BJ62" s="84"/>
      <c r="BO62" s="84"/>
      <c r="BT62" s="84"/>
      <c r="BY62" s="84"/>
      <c r="CC62" s="84"/>
      <c r="CG62" s="84"/>
      <c r="CK62" s="85"/>
      <c r="CL62" s="85"/>
      <c r="CM62" s="84"/>
      <c r="CO62" s="84"/>
      <c r="CT62" s="84"/>
      <c r="CY62" s="84"/>
      <c r="DC62" s="84"/>
      <c r="DG62" s="84"/>
      <c r="DK62" s="84"/>
      <c r="DO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84"/>
      <c r="AD63" s="84"/>
      <c r="AH63" s="84"/>
      <c r="AL63" s="85"/>
      <c r="AM63" s="84"/>
      <c r="AN63" s="84"/>
      <c r="AP63" s="84"/>
      <c r="AU63" s="84"/>
      <c r="AY63" s="86"/>
      <c r="BE63" s="84"/>
      <c r="BJ63" s="84"/>
      <c r="BO63" s="84"/>
      <c r="BT63" s="84"/>
      <c r="BY63" s="84"/>
      <c r="CC63" s="84"/>
      <c r="CG63" s="84"/>
      <c r="CK63" s="85"/>
      <c r="CL63" s="85"/>
      <c r="CM63" s="84"/>
      <c r="CO63" s="84"/>
      <c r="CT63" s="84"/>
      <c r="CY63" s="84"/>
      <c r="DC63" s="84"/>
      <c r="DG63" s="84"/>
      <c r="DK63" s="84"/>
      <c r="DO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84"/>
      <c r="AD64" s="84"/>
      <c r="AH64" s="84"/>
      <c r="AL64" s="85"/>
      <c r="AM64" s="84"/>
      <c r="AN64" s="84"/>
      <c r="AP64" s="84"/>
      <c r="AU64" s="84"/>
      <c r="AY64" s="86"/>
      <c r="BE64" s="84"/>
      <c r="BJ64" s="84"/>
      <c r="BO64" s="84"/>
      <c r="BT64" s="84"/>
      <c r="BY64" s="84"/>
      <c r="CC64" s="84"/>
      <c r="CG64" s="84"/>
      <c r="CK64" s="85"/>
      <c r="CL64" s="85"/>
      <c r="CM64" s="84"/>
      <c r="CO64" s="84"/>
      <c r="CT64" s="84"/>
      <c r="CY64" s="84"/>
      <c r="DC64" s="84"/>
      <c r="DG64" s="84"/>
      <c r="DK64" s="84"/>
      <c r="DO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84"/>
      <c r="AD65" s="84"/>
      <c r="AH65" s="84"/>
      <c r="AL65" s="85"/>
      <c r="AM65" s="84"/>
      <c r="AN65" s="84"/>
      <c r="AP65" s="84"/>
      <c r="AU65" s="84"/>
      <c r="AY65" s="86"/>
      <c r="BE65" s="84"/>
      <c r="BJ65" s="84"/>
      <c r="BO65" s="84"/>
      <c r="BT65" s="84"/>
      <c r="BY65" s="84"/>
      <c r="CC65" s="84"/>
      <c r="CG65" s="84"/>
      <c r="CK65" s="85"/>
      <c r="CL65" s="85"/>
      <c r="CM65" s="84"/>
      <c r="CO65" s="84"/>
      <c r="CT65" s="84"/>
      <c r="CY65" s="84"/>
      <c r="DC65" s="84"/>
      <c r="DG65" s="84"/>
      <c r="DK65" s="84"/>
      <c r="DO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84"/>
      <c r="AD66" s="84"/>
      <c r="AH66" s="84"/>
      <c r="AL66" s="85"/>
      <c r="AM66" s="84"/>
      <c r="AN66" s="84"/>
      <c r="AP66" s="84"/>
      <c r="AU66" s="84"/>
      <c r="AY66" s="86"/>
      <c r="BE66" s="84"/>
      <c r="BJ66" s="84"/>
      <c r="BO66" s="84"/>
      <c r="BT66" s="84"/>
      <c r="BY66" s="84"/>
      <c r="CC66" s="84"/>
      <c r="CG66" s="84"/>
      <c r="CK66" s="85"/>
      <c r="CL66" s="85"/>
      <c r="CM66" s="84"/>
      <c r="CO66" s="84"/>
      <c r="CT66" s="84"/>
      <c r="CY66" s="84"/>
      <c r="DC66" s="84"/>
      <c r="DG66" s="84"/>
      <c r="DK66" s="84"/>
      <c r="DO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84"/>
      <c r="AD67" s="84"/>
      <c r="AH67" s="84"/>
      <c r="AL67" s="85"/>
      <c r="AM67" s="84"/>
      <c r="AN67" s="84"/>
      <c r="AP67" s="84"/>
      <c r="AU67" s="84"/>
      <c r="AY67" s="86"/>
      <c r="BE67" s="84"/>
      <c r="BJ67" s="84"/>
      <c r="BO67" s="84"/>
      <c r="BT67" s="84"/>
      <c r="BY67" s="84"/>
      <c r="CC67" s="84"/>
      <c r="CG67" s="84"/>
      <c r="CK67" s="85"/>
      <c r="CL67" s="85"/>
      <c r="CM67" s="84"/>
      <c r="CO67" s="84"/>
      <c r="CT67" s="84"/>
      <c r="CY67" s="84"/>
      <c r="DC67" s="84"/>
      <c r="DG67" s="84"/>
      <c r="DK67" s="84"/>
      <c r="DO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5"/>
      <c r="AM68" s="84"/>
      <c r="AN68" s="84"/>
      <c r="AP68" s="84"/>
      <c r="AU68" s="84"/>
      <c r="AY68" s="86"/>
      <c r="BE68" s="84"/>
      <c r="BJ68" s="84"/>
      <c r="BO68" s="84"/>
      <c r="BT68" s="84"/>
      <c r="BY68" s="84"/>
      <c r="CC68" s="84"/>
      <c r="CG68" s="84"/>
      <c r="CK68" s="85"/>
      <c r="CL68" s="85"/>
      <c r="CM68" s="84"/>
      <c r="CO68" s="84"/>
      <c r="CT68" s="84"/>
      <c r="CY68" s="84"/>
      <c r="DC68" s="84"/>
      <c r="DG68" s="84"/>
      <c r="DK68" s="84"/>
      <c r="DO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5"/>
      <c r="AM69" s="84"/>
      <c r="AN69" s="84"/>
      <c r="AP69" s="84"/>
      <c r="AU69" s="84"/>
      <c r="AY69" s="86"/>
      <c r="BE69" s="84"/>
      <c r="BJ69" s="84"/>
      <c r="BO69" s="84"/>
      <c r="BT69" s="84"/>
      <c r="BY69" s="84"/>
      <c r="CC69" s="84"/>
      <c r="CG69" s="84"/>
      <c r="CK69" s="85"/>
      <c r="CL69" s="85"/>
      <c r="CM69" s="84"/>
      <c r="CO69" s="84"/>
      <c r="CT69" s="84"/>
      <c r="CY69" s="84"/>
      <c r="DC69" s="84"/>
      <c r="DG69" s="84"/>
      <c r="DK69" s="84"/>
      <c r="DO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5"/>
      <c r="AM70" s="84"/>
      <c r="AN70" s="84"/>
      <c r="AP70" s="84"/>
      <c r="AU70" s="84"/>
      <c r="AY70" s="86"/>
      <c r="BE70" s="84"/>
      <c r="BJ70" s="84"/>
      <c r="BO70" s="84"/>
      <c r="BT70" s="84"/>
      <c r="BY70" s="84"/>
      <c r="CC70" s="84"/>
      <c r="CG70" s="84"/>
      <c r="CK70" s="85"/>
      <c r="CL70" s="85"/>
      <c r="CM70" s="84"/>
      <c r="CO70" s="84"/>
      <c r="CT70" s="84"/>
      <c r="CY70" s="84"/>
      <c r="DC70" s="84"/>
      <c r="DG70" s="84"/>
      <c r="DK70" s="84"/>
      <c r="DO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5"/>
      <c r="AM71" s="84"/>
      <c r="AN71" s="84"/>
      <c r="AP71" s="84"/>
      <c r="AU71" s="84"/>
      <c r="AY71" s="86"/>
      <c r="BE71" s="84"/>
      <c r="BJ71" s="84"/>
      <c r="BO71" s="84"/>
      <c r="BT71" s="84"/>
      <c r="BY71" s="84"/>
      <c r="CC71" s="84"/>
      <c r="CG71" s="84"/>
      <c r="CK71" s="85"/>
      <c r="CL71" s="85"/>
      <c r="CM71" s="84"/>
      <c r="CO71" s="84"/>
      <c r="CT71" s="84"/>
      <c r="CY71" s="84"/>
      <c r="DC71" s="84"/>
      <c r="DG71" s="84"/>
      <c r="DK71" s="84"/>
      <c r="DO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5"/>
      <c r="AM72" s="84"/>
      <c r="AN72" s="84"/>
      <c r="AP72" s="84"/>
      <c r="AU72" s="84"/>
      <c r="AY72" s="86"/>
      <c r="BE72" s="84"/>
      <c r="BJ72" s="84"/>
      <c r="BO72" s="84"/>
      <c r="BT72" s="84"/>
      <c r="BY72" s="84"/>
      <c r="CC72" s="84"/>
      <c r="CG72" s="84"/>
      <c r="CK72" s="85"/>
      <c r="CL72" s="85"/>
      <c r="CM72" s="84"/>
      <c r="CO72" s="84"/>
      <c r="CT72" s="84"/>
      <c r="CY72" s="84"/>
      <c r="DC72" s="84"/>
      <c r="DG72" s="84"/>
      <c r="DK72" s="84"/>
      <c r="DO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5"/>
      <c r="AM73" s="84"/>
      <c r="AN73" s="84"/>
      <c r="AP73" s="84"/>
      <c r="AU73" s="84"/>
      <c r="AY73" s="86"/>
      <c r="BE73" s="84"/>
      <c r="BJ73" s="84"/>
      <c r="BO73" s="84"/>
      <c r="BT73" s="84"/>
      <c r="BY73" s="84"/>
      <c r="CC73" s="84"/>
      <c r="CG73" s="84"/>
      <c r="CK73" s="85"/>
      <c r="CL73" s="85"/>
      <c r="CM73" s="84"/>
      <c r="CO73" s="84"/>
      <c r="CT73" s="84"/>
      <c r="CY73" s="84"/>
      <c r="DC73" s="84"/>
      <c r="DG73" s="84"/>
      <c r="DK73" s="84"/>
      <c r="DO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5"/>
      <c r="AM74" s="84"/>
      <c r="AN74" s="84"/>
      <c r="AP74" s="84"/>
      <c r="AU74" s="84"/>
      <c r="AY74" s="86"/>
      <c r="BE74" s="84"/>
      <c r="BJ74" s="84"/>
      <c r="BO74" s="84"/>
      <c r="BT74" s="84"/>
      <c r="BY74" s="84"/>
      <c r="CC74" s="84"/>
      <c r="CG74" s="84"/>
      <c r="CK74" s="85"/>
      <c r="CL74" s="85"/>
      <c r="CM74" s="84"/>
      <c r="CO74" s="84"/>
      <c r="CT74" s="84"/>
      <c r="CY74" s="84"/>
      <c r="DC74" s="84"/>
      <c r="DG74" s="84"/>
      <c r="DK74" s="84"/>
      <c r="DO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5"/>
      <c r="AM75" s="84"/>
      <c r="AN75" s="84"/>
      <c r="AP75" s="84"/>
      <c r="AU75" s="84"/>
      <c r="AY75" s="86"/>
      <c r="BE75" s="84"/>
      <c r="BJ75" s="84"/>
      <c r="BO75" s="84"/>
      <c r="BT75" s="84"/>
      <c r="BY75" s="84"/>
      <c r="CC75" s="84"/>
      <c r="CG75" s="84"/>
      <c r="CK75" s="85"/>
      <c r="CL75" s="85"/>
      <c r="CM75" s="84"/>
      <c r="CO75" s="84"/>
      <c r="CT75" s="84"/>
      <c r="CY75" s="84"/>
      <c r="DC75" s="84"/>
      <c r="DG75" s="84"/>
      <c r="DK75" s="84"/>
      <c r="DO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5"/>
      <c r="AM76" s="84"/>
      <c r="AN76" s="84"/>
      <c r="AP76" s="84"/>
      <c r="AU76" s="84"/>
      <c r="AY76" s="86"/>
      <c r="BE76" s="84"/>
      <c r="BJ76" s="84"/>
      <c r="BO76" s="84"/>
      <c r="BT76" s="84"/>
      <c r="BY76" s="84"/>
      <c r="CC76" s="84"/>
      <c r="CG76" s="84"/>
      <c r="CK76" s="85"/>
      <c r="CL76" s="85"/>
      <c r="CM76" s="84"/>
      <c r="CO76" s="84"/>
      <c r="CT76" s="84"/>
      <c r="CY76" s="84"/>
      <c r="DC76" s="84"/>
      <c r="DG76" s="84"/>
      <c r="DK76" s="84"/>
      <c r="DO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5"/>
      <c r="AM77" s="84"/>
      <c r="AN77" s="84"/>
      <c r="AP77" s="84"/>
      <c r="AU77" s="84"/>
      <c r="AY77" s="86"/>
      <c r="BE77" s="84"/>
      <c r="BJ77" s="84"/>
      <c r="BO77" s="84"/>
      <c r="BT77" s="84"/>
      <c r="BY77" s="84"/>
      <c r="CC77" s="84"/>
      <c r="CG77" s="84"/>
      <c r="CK77" s="85"/>
      <c r="CL77" s="85"/>
      <c r="CM77" s="84"/>
      <c r="CO77" s="84"/>
      <c r="CT77" s="84"/>
      <c r="CY77" s="84"/>
      <c r="DC77" s="84"/>
      <c r="DG77" s="84"/>
      <c r="DK77" s="84"/>
      <c r="DO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5"/>
      <c r="AM78" s="84"/>
      <c r="AN78" s="84"/>
      <c r="AP78" s="84"/>
      <c r="AU78" s="84"/>
      <c r="AY78" s="86"/>
      <c r="BE78" s="84"/>
      <c r="BJ78" s="84"/>
      <c r="BO78" s="84"/>
      <c r="BT78" s="84"/>
      <c r="BY78" s="84"/>
      <c r="CC78" s="84"/>
      <c r="CG78" s="84"/>
      <c r="CK78" s="85"/>
      <c r="CL78" s="85"/>
      <c r="CM78" s="84"/>
      <c r="CO78" s="84"/>
      <c r="CT78" s="84"/>
      <c r="CY78" s="84"/>
      <c r="DC78" s="84"/>
      <c r="DG78" s="84"/>
      <c r="DK78" s="84"/>
      <c r="DO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5"/>
      <c r="AM79" s="84"/>
      <c r="AN79" s="84"/>
      <c r="AP79" s="84"/>
      <c r="AU79" s="84"/>
      <c r="AY79" s="86"/>
      <c r="BE79" s="84"/>
      <c r="BJ79" s="84"/>
      <c r="BO79" s="84"/>
      <c r="BT79" s="84"/>
      <c r="BY79" s="84"/>
      <c r="CC79" s="84"/>
      <c r="CG79" s="84"/>
      <c r="CK79" s="85"/>
      <c r="CL79" s="85"/>
      <c r="CM79" s="84"/>
      <c r="CO79" s="84"/>
      <c r="CT79" s="84"/>
      <c r="CY79" s="84"/>
      <c r="DC79" s="84"/>
      <c r="DG79" s="84"/>
      <c r="DK79" s="84"/>
      <c r="DO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5"/>
      <c r="AM80" s="84"/>
      <c r="AN80" s="84"/>
      <c r="AP80" s="84"/>
      <c r="AU80" s="84"/>
      <c r="AY80" s="86"/>
      <c r="BE80" s="84"/>
      <c r="BJ80" s="84"/>
      <c r="BO80" s="84"/>
      <c r="BT80" s="84"/>
      <c r="BY80" s="84"/>
      <c r="CC80" s="84"/>
      <c r="CG80" s="84"/>
      <c r="CK80" s="85"/>
      <c r="CL80" s="85"/>
      <c r="CM80" s="84"/>
      <c r="CO80" s="84"/>
      <c r="CT80" s="84"/>
      <c r="CY80" s="84"/>
      <c r="DC80" s="84"/>
      <c r="DG80" s="84"/>
      <c r="DK80" s="84"/>
      <c r="DO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5"/>
      <c r="AM81" s="84"/>
      <c r="AN81" s="84"/>
      <c r="AP81" s="84"/>
      <c r="AU81" s="84"/>
      <c r="AY81" s="86"/>
      <c r="BE81" s="84"/>
      <c r="BJ81" s="84"/>
      <c r="BO81" s="84"/>
      <c r="BT81" s="84"/>
      <c r="BY81" s="84"/>
      <c r="CC81" s="84"/>
      <c r="CG81" s="84"/>
      <c r="CK81" s="85"/>
      <c r="CL81" s="85"/>
      <c r="CM81" s="84"/>
      <c r="CO81" s="84"/>
      <c r="CT81" s="84"/>
      <c r="CY81" s="84"/>
      <c r="DC81" s="84"/>
      <c r="DG81" s="84"/>
      <c r="DK81" s="84"/>
      <c r="DO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5"/>
      <c r="AM82" s="84"/>
      <c r="AN82" s="84"/>
      <c r="AP82" s="84"/>
      <c r="AU82" s="84"/>
      <c r="AY82" s="86"/>
      <c r="BE82" s="84"/>
      <c r="BJ82" s="84"/>
      <c r="BO82" s="84"/>
      <c r="BT82" s="84"/>
      <c r="BY82" s="84"/>
      <c r="CC82" s="84"/>
      <c r="CG82" s="84"/>
      <c r="CK82" s="85"/>
      <c r="CL82" s="85"/>
      <c r="CM82" s="84"/>
      <c r="CO82" s="84"/>
      <c r="CT82" s="84"/>
      <c r="CY82" s="84"/>
      <c r="DC82" s="84"/>
      <c r="DG82" s="84"/>
      <c r="DK82" s="84"/>
      <c r="DO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5"/>
      <c r="AM83" s="84"/>
      <c r="AN83" s="84"/>
      <c r="AP83" s="84"/>
      <c r="AU83" s="84"/>
      <c r="AY83" s="86"/>
      <c r="BE83" s="84"/>
      <c r="BJ83" s="84"/>
      <c r="BO83" s="84"/>
      <c r="BT83" s="84"/>
      <c r="BY83" s="84"/>
      <c r="CC83" s="84"/>
      <c r="CG83" s="84"/>
      <c r="CK83" s="85"/>
      <c r="CL83" s="85"/>
      <c r="CM83" s="84"/>
      <c r="CO83" s="84"/>
      <c r="CT83" s="84"/>
      <c r="CY83" s="84"/>
      <c r="DC83" s="84"/>
      <c r="DG83" s="84"/>
      <c r="DK83" s="84"/>
      <c r="DO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5"/>
      <c r="AM84" s="84"/>
      <c r="AN84" s="84"/>
      <c r="AP84" s="84"/>
      <c r="AU84" s="84"/>
      <c r="AY84" s="86"/>
      <c r="BE84" s="84"/>
      <c r="BJ84" s="84"/>
      <c r="BO84" s="84"/>
      <c r="BT84" s="84"/>
      <c r="BY84" s="84"/>
      <c r="CC84" s="84"/>
      <c r="CG84" s="84"/>
      <c r="CK84" s="85"/>
      <c r="CL84" s="85"/>
      <c r="CM84" s="84"/>
      <c r="CO84" s="84"/>
      <c r="CT84" s="84"/>
      <c r="CY84" s="84"/>
      <c r="DC84" s="84"/>
      <c r="DG84" s="84"/>
      <c r="DK84" s="84"/>
      <c r="DO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5"/>
      <c r="AM85" s="84"/>
      <c r="AN85" s="84"/>
      <c r="AP85" s="84"/>
      <c r="AU85" s="84"/>
      <c r="AY85" s="86"/>
      <c r="BE85" s="84"/>
      <c r="BJ85" s="84"/>
      <c r="BO85" s="84"/>
      <c r="BT85" s="84"/>
      <c r="BY85" s="84"/>
      <c r="CC85" s="84"/>
      <c r="CG85" s="84"/>
      <c r="CK85" s="85"/>
      <c r="CL85" s="85"/>
      <c r="CM85" s="84"/>
      <c r="CO85" s="84"/>
      <c r="CT85" s="84"/>
      <c r="CY85" s="84"/>
      <c r="DC85" s="84"/>
      <c r="DG85" s="84"/>
      <c r="DK85" s="84"/>
      <c r="DO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5"/>
      <c r="AM86" s="84"/>
      <c r="AN86" s="84"/>
      <c r="AP86" s="84"/>
      <c r="AU86" s="84"/>
      <c r="AY86" s="86"/>
      <c r="BE86" s="84"/>
      <c r="BJ86" s="84"/>
      <c r="BO86" s="84"/>
      <c r="BT86" s="84"/>
      <c r="BY86" s="84"/>
      <c r="CC86" s="84"/>
      <c r="CG86" s="84"/>
      <c r="CK86" s="85"/>
      <c r="CL86" s="85"/>
      <c r="CM86" s="84"/>
      <c r="CO86" s="84"/>
      <c r="CT86" s="84"/>
      <c r="CY86" s="84"/>
      <c r="DC86" s="84"/>
      <c r="DG86" s="84"/>
      <c r="DK86" s="84"/>
      <c r="DO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5"/>
      <c r="AM87" s="84"/>
      <c r="AN87" s="84"/>
      <c r="AP87" s="84"/>
      <c r="AU87" s="84"/>
      <c r="AY87" s="86"/>
      <c r="BE87" s="84"/>
      <c r="BJ87" s="84"/>
      <c r="BO87" s="84"/>
      <c r="BT87" s="84"/>
      <c r="BY87" s="84"/>
      <c r="CC87" s="84"/>
      <c r="CG87" s="84"/>
      <c r="CK87" s="85"/>
      <c r="CL87" s="85"/>
      <c r="CM87" s="84"/>
      <c r="CO87" s="84"/>
      <c r="CT87" s="84"/>
      <c r="CY87" s="84"/>
      <c r="DC87" s="84"/>
      <c r="DG87" s="84"/>
      <c r="DK87" s="84"/>
      <c r="DO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5"/>
      <c r="AM88" s="84"/>
      <c r="AN88" s="84"/>
      <c r="AP88" s="84"/>
      <c r="AU88" s="84"/>
      <c r="AY88" s="86"/>
      <c r="BE88" s="84"/>
      <c r="BJ88" s="84"/>
      <c r="BO88" s="84"/>
      <c r="BT88" s="84"/>
      <c r="BY88" s="84"/>
      <c r="CC88" s="84"/>
      <c r="CG88" s="84"/>
      <c r="CK88" s="85"/>
      <c r="CL88" s="85"/>
      <c r="CM88" s="84"/>
      <c r="CO88" s="84"/>
      <c r="CT88" s="84"/>
      <c r="CY88" s="84"/>
      <c r="DC88" s="84"/>
      <c r="DG88" s="84"/>
      <c r="DK88" s="84"/>
      <c r="DO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5"/>
      <c r="AM89" s="84"/>
      <c r="AN89" s="84"/>
      <c r="AP89" s="84"/>
      <c r="AU89" s="84"/>
      <c r="AY89" s="86"/>
      <c r="BE89" s="84"/>
      <c r="BJ89" s="84"/>
      <c r="BO89" s="84"/>
      <c r="BT89" s="84"/>
      <c r="BY89" s="84"/>
      <c r="CC89" s="84"/>
      <c r="CG89" s="84"/>
      <c r="CK89" s="85"/>
      <c r="CL89" s="85"/>
      <c r="CM89" s="84"/>
      <c r="CO89" s="84"/>
      <c r="CT89" s="84"/>
      <c r="CY89" s="84"/>
      <c r="DC89" s="84"/>
      <c r="DG89" s="84"/>
      <c r="DK89" s="84"/>
      <c r="DO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5"/>
      <c r="AM90" s="84"/>
      <c r="AN90" s="84"/>
      <c r="AP90" s="84"/>
      <c r="AU90" s="84"/>
      <c r="AY90" s="86"/>
      <c r="BE90" s="84"/>
      <c r="BJ90" s="84"/>
      <c r="BO90" s="84"/>
      <c r="BT90" s="84"/>
      <c r="BY90" s="84"/>
      <c r="CC90" s="84"/>
      <c r="CG90" s="84"/>
      <c r="CK90" s="85"/>
      <c r="CL90" s="85"/>
      <c r="CM90" s="84"/>
      <c r="CO90" s="84"/>
      <c r="CT90" s="84"/>
      <c r="CY90" s="84"/>
      <c r="DC90" s="84"/>
      <c r="DG90" s="84"/>
      <c r="DK90" s="84"/>
      <c r="DO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5"/>
      <c r="AM91" s="84"/>
      <c r="AN91" s="84"/>
      <c r="AP91" s="84"/>
      <c r="AU91" s="84"/>
      <c r="AY91" s="86"/>
      <c r="BE91" s="84"/>
      <c r="BJ91" s="84"/>
      <c r="BO91" s="84"/>
      <c r="BT91" s="84"/>
      <c r="BY91" s="84"/>
      <c r="CC91" s="84"/>
      <c r="CG91" s="84"/>
      <c r="CK91" s="85"/>
      <c r="CL91" s="85"/>
      <c r="CM91" s="84"/>
      <c r="CO91" s="84"/>
      <c r="CT91" s="84"/>
      <c r="CY91" s="84"/>
      <c r="DC91" s="84"/>
      <c r="DG91" s="84"/>
      <c r="DK91" s="84"/>
      <c r="DO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5"/>
      <c r="AM92" s="84"/>
      <c r="AN92" s="84"/>
      <c r="AP92" s="84"/>
      <c r="AU92" s="84"/>
      <c r="AY92" s="86"/>
      <c r="BE92" s="84"/>
      <c r="BJ92" s="84"/>
      <c r="BO92" s="84"/>
      <c r="BT92" s="84"/>
      <c r="BY92" s="84"/>
      <c r="CC92" s="84"/>
      <c r="CG92" s="84"/>
      <c r="CK92" s="85"/>
      <c r="CL92" s="85"/>
      <c r="CM92" s="84"/>
      <c r="CO92" s="84"/>
      <c r="CT92" s="84"/>
      <c r="CY92" s="84"/>
      <c r="DC92" s="84"/>
      <c r="DG92" s="84"/>
      <c r="DK92" s="84"/>
      <c r="DO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5"/>
      <c r="AM93" s="84"/>
      <c r="AN93" s="84"/>
      <c r="AP93" s="84"/>
      <c r="AU93" s="84"/>
      <c r="AY93" s="86"/>
      <c r="BE93" s="84"/>
      <c r="BJ93" s="84"/>
      <c r="BO93" s="84"/>
      <c r="BT93" s="84"/>
      <c r="BY93" s="84"/>
      <c r="CC93" s="84"/>
      <c r="CG93" s="84"/>
      <c r="CK93" s="85"/>
      <c r="CL93" s="85"/>
      <c r="CM93" s="84"/>
      <c r="CO93" s="84"/>
      <c r="CT93" s="84"/>
      <c r="CY93" s="84"/>
      <c r="DC93" s="84"/>
      <c r="DG93" s="84"/>
      <c r="DK93" s="84"/>
      <c r="DO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5"/>
      <c r="AM94" s="84"/>
      <c r="AN94" s="84"/>
      <c r="AP94" s="84"/>
      <c r="AU94" s="84"/>
      <c r="AY94" s="86"/>
      <c r="BE94" s="84"/>
      <c r="BJ94" s="84"/>
      <c r="BO94" s="84"/>
      <c r="BT94" s="84"/>
      <c r="BY94" s="84"/>
      <c r="CC94" s="84"/>
      <c r="CG94" s="84"/>
      <c r="CK94" s="85"/>
      <c r="CL94" s="85"/>
      <c r="CM94" s="84"/>
      <c r="CO94" s="84"/>
      <c r="CT94" s="84"/>
      <c r="CY94" s="84"/>
      <c r="DC94" s="84"/>
      <c r="DG94" s="84"/>
      <c r="DK94" s="84"/>
      <c r="DO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5"/>
      <c r="AM95" s="84"/>
      <c r="AN95" s="84"/>
      <c r="AP95" s="84"/>
      <c r="AU95" s="84"/>
      <c r="AY95" s="86"/>
      <c r="BE95" s="84"/>
      <c r="BJ95" s="84"/>
      <c r="BO95" s="84"/>
      <c r="BT95" s="84"/>
      <c r="BY95" s="84"/>
      <c r="CC95" s="84"/>
      <c r="CG95" s="84"/>
      <c r="CK95" s="85"/>
      <c r="CL95" s="85"/>
      <c r="CM95" s="84"/>
      <c r="CO95" s="84"/>
      <c r="CT95" s="84"/>
      <c r="CY95" s="84"/>
      <c r="DC95" s="84"/>
      <c r="DG95" s="84"/>
      <c r="DK95" s="84"/>
      <c r="DO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5"/>
      <c r="AM96" s="84"/>
      <c r="AN96" s="84"/>
      <c r="AP96" s="84"/>
      <c r="AU96" s="84"/>
      <c r="AY96" s="86"/>
      <c r="BE96" s="84"/>
      <c r="BJ96" s="84"/>
      <c r="BO96" s="84"/>
      <c r="BT96" s="84"/>
      <c r="BY96" s="84"/>
      <c r="CC96" s="84"/>
      <c r="CG96" s="84"/>
      <c r="CK96" s="85"/>
      <c r="CL96" s="85"/>
      <c r="CM96" s="84"/>
      <c r="CO96" s="84"/>
      <c r="CT96" s="84"/>
      <c r="CY96" s="84"/>
      <c r="DC96" s="84"/>
      <c r="DG96" s="84"/>
      <c r="DK96" s="84"/>
      <c r="DO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5"/>
      <c r="AM97" s="84"/>
      <c r="AN97" s="84"/>
      <c r="AP97" s="84"/>
      <c r="AU97" s="84"/>
      <c r="AY97" s="86"/>
      <c r="BE97" s="84"/>
      <c r="BJ97" s="84"/>
      <c r="BO97" s="84"/>
      <c r="BT97" s="84"/>
      <c r="BY97" s="84"/>
      <c r="CC97" s="84"/>
      <c r="CG97" s="84"/>
      <c r="CK97" s="85"/>
      <c r="CL97" s="85"/>
      <c r="CM97" s="84"/>
      <c r="CO97" s="84"/>
      <c r="CT97" s="84"/>
      <c r="CY97" s="84"/>
      <c r="DC97" s="84"/>
      <c r="DG97" s="84"/>
      <c r="DK97" s="84"/>
      <c r="DO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5"/>
      <c r="AM98" s="84"/>
      <c r="AN98" s="84"/>
      <c r="AP98" s="84"/>
      <c r="AU98" s="84"/>
      <c r="AY98" s="86"/>
      <c r="BE98" s="84"/>
      <c r="BJ98" s="84"/>
      <c r="BO98" s="84"/>
      <c r="BT98" s="84"/>
      <c r="BY98" s="84"/>
      <c r="CC98" s="84"/>
      <c r="CG98" s="84"/>
      <c r="CK98" s="85"/>
      <c r="CL98" s="85"/>
      <c r="CM98" s="84"/>
      <c r="CO98" s="84"/>
      <c r="CT98" s="84"/>
      <c r="CY98" s="84"/>
      <c r="DC98" s="84"/>
      <c r="DG98" s="84"/>
      <c r="DK98" s="84"/>
      <c r="DO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5"/>
      <c r="AM99" s="84"/>
      <c r="AN99" s="84"/>
      <c r="AP99" s="84"/>
      <c r="AU99" s="84"/>
      <c r="AY99" s="86"/>
      <c r="BE99" s="84"/>
      <c r="BJ99" s="84"/>
      <c r="BO99" s="84"/>
      <c r="BT99" s="84"/>
      <c r="BY99" s="84"/>
      <c r="CC99" s="84"/>
      <c r="CG99" s="84"/>
      <c r="CK99" s="85"/>
      <c r="CL99" s="85"/>
      <c r="CM99" s="84"/>
      <c r="CO99" s="84"/>
      <c r="CT99" s="84"/>
      <c r="CY99" s="84"/>
      <c r="DC99" s="84"/>
      <c r="DG99" s="84"/>
      <c r="DK99" s="84"/>
      <c r="DO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5"/>
      <c r="AM100" s="84"/>
      <c r="AN100" s="84"/>
      <c r="AP100" s="84"/>
      <c r="AU100" s="84"/>
      <c r="AY100" s="86"/>
      <c r="BE100" s="84"/>
      <c r="BJ100" s="84"/>
      <c r="BO100" s="84"/>
      <c r="BT100" s="84"/>
      <c r="BY100" s="84"/>
      <c r="CC100" s="84"/>
      <c r="CG100" s="84"/>
      <c r="CK100" s="85"/>
      <c r="CL100" s="85"/>
      <c r="CM100" s="84"/>
      <c r="CO100" s="84"/>
      <c r="CT100" s="84"/>
      <c r="CY100" s="84"/>
      <c r="DC100" s="84"/>
      <c r="DG100" s="84"/>
      <c r="DK100" s="84"/>
      <c r="DO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5"/>
      <c r="AM101" s="84"/>
      <c r="AN101" s="84"/>
      <c r="AP101" s="84"/>
      <c r="AU101" s="84"/>
      <c r="AY101" s="86"/>
      <c r="BE101" s="84"/>
      <c r="BJ101" s="84"/>
      <c r="BO101" s="84"/>
      <c r="BT101" s="84"/>
      <c r="BY101" s="84"/>
      <c r="CC101" s="84"/>
      <c r="CG101" s="84"/>
      <c r="CK101" s="85"/>
      <c r="CL101" s="85"/>
      <c r="CM101" s="84"/>
      <c r="CO101" s="84"/>
      <c r="CT101" s="84"/>
      <c r="CY101" s="84"/>
      <c r="DC101" s="84"/>
      <c r="DG101" s="84"/>
      <c r="DK101" s="84"/>
      <c r="DO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5"/>
      <c r="AM102" s="84"/>
      <c r="AN102" s="84"/>
      <c r="AP102" s="84"/>
      <c r="AU102" s="84"/>
      <c r="AY102" s="86"/>
      <c r="BE102" s="84"/>
      <c r="BJ102" s="84"/>
      <c r="BO102" s="84"/>
      <c r="BT102" s="84"/>
      <c r="BY102" s="84"/>
      <c r="CC102" s="84"/>
      <c r="CG102" s="84"/>
      <c r="CK102" s="85"/>
      <c r="CL102" s="85"/>
      <c r="CM102" s="84"/>
      <c r="CO102" s="84"/>
      <c r="CT102" s="84"/>
      <c r="CY102" s="84"/>
      <c r="DC102" s="84"/>
      <c r="DG102" s="84"/>
      <c r="DK102" s="84"/>
      <c r="DO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5"/>
      <c r="AM103" s="84"/>
      <c r="AN103" s="84"/>
      <c r="AP103" s="84"/>
      <c r="AU103" s="84"/>
      <c r="AY103" s="86"/>
      <c r="BE103" s="84"/>
      <c r="BJ103" s="84"/>
      <c r="BO103" s="84"/>
      <c r="BT103" s="84"/>
      <c r="BY103" s="84"/>
      <c r="CC103" s="84"/>
      <c r="CG103" s="84"/>
      <c r="CK103" s="85"/>
      <c r="CL103" s="85"/>
      <c r="CM103" s="84"/>
      <c r="CO103" s="84"/>
      <c r="CT103" s="84"/>
      <c r="CY103" s="84"/>
      <c r="DC103" s="84"/>
      <c r="DG103" s="84"/>
      <c r="DK103" s="84"/>
      <c r="DO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5"/>
      <c r="AM104" s="84"/>
      <c r="AN104" s="84"/>
      <c r="AP104" s="84"/>
      <c r="AU104" s="84"/>
      <c r="AY104" s="86"/>
      <c r="BE104" s="84"/>
      <c r="BJ104" s="84"/>
      <c r="BO104" s="84"/>
      <c r="BT104" s="84"/>
      <c r="BY104" s="84"/>
      <c r="CC104" s="84"/>
      <c r="CG104" s="84"/>
      <c r="CK104" s="85"/>
      <c r="CL104" s="85"/>
      <c r="CM104" s="84"/>
      <c r="CO104" s="84"/>
      <c r="CT104" s="84"/>
      <c r="CY104" s="84"/>
      <c r="DC104" s="84"/>
      <c r="DG104" s="84"/>
      <c r="DK104" s="84"/>
      <c r="DO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5"/>
      <c r="AM105" s="84"/>
      <c r="AN105" s="84"/>
      <c r="AP105" s="84"/>
      <c r="AU105" s="84"/>
      <c r="AY105" s="86"/>
      <c r="BE105" s="84"/>
      <c r="BJ105" s="84"/>
      <c r="BO105" s="84"/>
      <c r="BT105" s="84"/>
      <c r="BY105" s="84"/>
      <c r="CC105" s="84"/>
      <c r="CG105" s="84"/>
      <c r="CK105" s="85"/>
      <c r="CL105" s="85"/>
      <c r="CM105" s="84"/>
      <c r="CO105" s="84"/>
      <c r="CT105" s="84"/>
      <c r="CY105" s="84"/>
      <c r="DC105" s="84"/>
      <c r="DG105" s="84"/>
      <c r="DK105" s="84"/>
      <c r="DO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5"/>
      <c r="AM106" s="84"/>
      <c r="AN106" s="84"/>
      <c r="AP106" s="84"/>
      <c r="AU106" s="84"/>
      <c r="AY106" s="86"/>
      <c r="BE106" s="84"/>
      <c r="BJ106" s="84"/>
      <c r="BO106" s="84"/>
      <c r="BT106" s="84"/>
      <c r="BY106" s="84"/>
      <c r="CC106" s="84"/>
      <c r="CG106" s="84"/>
      <c r="CK106" s="85"/>
      <c r="CL106" s="85"/>
      <c r="CM106" s="84"/>
      <c r="CO106" s="84"/>
      <c r="CT106" s="84"/>
      <c r="CY106" s="84"/>
      <c r="DC106" s="84"/>
      <c r="DG106" s="84"/>
      <c r="DK106" s="84"/>
      <c r="DO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5"/>
      <c r="AM107" s="84"/>
      <c r="AN107" s="84"/>
      <c r="AP107" s="84"/>
      <c r="AU107" s="84"/>
      <c r="AY107" s="86"/>
      <c r="BE107" s="84"/>
      <c r="BJ107" s="84"/>
      <c r="BO107" s="84"/>
      <c r="BT107" s="84"/>
      <c r="BY107" s="84"/>
      <c r="CC107" s="84"/>
      <c r="CG107" s="84"/>
      <c r="CK107" s="85"/>
      <c r="CL107" s="85"/>
      <c r="CM107" s="84"/>
      <c r="CO107" s="84"/>
      <c r="CT107" s="84"/>
      <c r="CY107" s="84"/>
      <c r="DC107" s="84"/>
      <c r="DG107" s="84"/>
      <c r="DK107" s="84"/>
      <c r="DO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5"/>
      <c r="AM108" s="84"/>
      <c r="AN108" s="84"/>
      <c r="AP108" s="84"/>
      <c r="AU108" s="84"/>
      <c r="AY108" s="86"/>
      <c r="BE108" s="84"/>
      <c r="BJ108" s="84"/>
      <c r="BO108" s="84"/>
      <c r="BT108" s="84"/>
      <c r="BY108" s="84"/>
      <c r="CC108" s="84"/>
      <c r="CG108" s="84"/>
      <c r="CK108" s="85"/>
      <c r="CL108" s="85"/>
      <c r="CM108" s="84"/>
      <c r="CO108" s="84"/>
      <c r="CT108" s="84"/>
      <c r="CY108" s="84"/>
      <c r="DC108" s="84"/>
      <c r="DG108" s="84"/>
      <c r="DK108" s="84"/>
      <c r="DO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5"/>
      <c r="AM109" s="84"/>
      <c r="AN109" s="84"/>
      <c r="AP109" s="84"/>
      <c r="AU109" s="84"/>
      <c r="AY109" s="86"/>
      <c r="BE109" s="84"/>
      <c r="BJ109" s="84"/>
      <c r="BO109" s="84"/>
      <c r="BT109" s="84"/>
      <c r="BY109" s="84"/>
      <c r="CC109" s="84"/>
      <c r="CG109" s="84"/>
      <c r="CK109" s="85"/>
      <c r="CL109" s="85"/>
      <c r="CM109" s="84"/>
      <c r="CO109" s="84"/>
      <c r="CT109" s="84"/>
      <c r="CY109" s="84"/>
      <c r="DC109" s="84"/>
      <c r="DG109" s="84"/>
      <c r="DK109" s="84"/>
      <c r="DO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5"/>
      <c r="AM110" s="84"/>
      <c r="AN110" s="84"/>
      <c r="AP110" s="84"/>
      <c r="AU110" s="84"/>
      <c r="AY110" s="86"/>
      <c r="BE110" s="84"/>
      <c r="BJ110" s="84"/>
      <c r="BO110" s="84"/>
      <c r="BT110" s="84"/>
      <c r="BY110" s="84"/>
      <c r="CC110" s="84"/>
      <c r="CG110" s="84"/>
      <c r="CK110" s="85"/>
      <c r="CL110" s="85"/>
      <c r="CM110" s="84"/>
      <c r="CO110" s="84"/>
      <c r="CT110" s="84"/>
      <c r="CY110" s="84"/>
      <c r="DC110" s="84"/>
      <c r="DG110" s="84"/>
      <c r="DK110" s="84"/>
      <c r="DO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5"/>
      <c r="AM111" s="84"/>
      <c r="AN111" s="84"/>
      <c r="AP111" s="84"/>
      <c r="AU111" s="84"/>
      <c r="AY111" s="86"/>
      <c r="BE111" s="84"/>
      <c r="BJ111" s="84"/>
      <c r="BO111" s="84"/>
      <c r="BT111" s="84"/>
      <c r="BY111" s="84"/>
      <c r="CC111" s="84"/>
      <c r="CG111" s="84"/>
      <c r="CK111" s="85"/>
      <c r="CL111" s="85"/>
      <c r="CM111" s="84"/>
      <c r="CO111" s="84"/>
      <c r="CT111" s="84"/>
      <c r="CY111" s="84"/>
      <c r="DC111" s="84"/>
      <c r="DG111" s="84"/>
      <c r="DK111" s="84"/>
      <c r="DO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5"/>
      <c r="AM112" s="84"/>
      <c r="AN112" s="84"/>
      <c r="AP112" s="84"/>
      <c r="AU112" s="84"/>
      <c r="AY112" s="86"/>
      <c r="BE112" s="84"/>
      <c r="BJ112" s="84"/>
      <c r="BO112" s="84"/>
      <c r="BT112" s="84"/>
      <c r="BY112" s="84"/>
      <c r="CC112" s="84"/>
      <c r="CG112" s="84"/>
      <c r="CK112" s="85"/>
      <c r="CL112" s="85"/>
      <c r="CM112" s="84"/>
      <c r="CO112" s="84"/>
      <c r="CT112" s="84"/>
      <c r="CY112" s="84"/>
      <c r="DC112" s="84"/>
      <c r="DG112" s="84"/>
      <c r="DK112" s="84"/>
      <c r="DO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5"/>
      <c r="AM113" s="84"/>
      <c r="AN113" s="84"/>
      <c r="AP113" s="84"/>
      <c r="AU113" s="84"/>
      <c r="AY113" s="86"/>
      <c r="BE113" s="84"/>
      <c r="BJ113" s="84"/>
      <c r="BO113" s="84"/>
      <c r="BT113" s="84"/>
      <c r="BY113" s="84"/>
      <c r="CC113" s="84"/>
      <c r="CG113" s="84"/>
      <c r="CK113" s="85"/>
      <c r="CL113" s="85"/>
      <c r="CM113" s="84"/>
      <c r="CO113" s="84"/>
      <c r="CT113" s="84"/>
      <c r="CY113" s="84"/>
      <c r="DC113" s="84"/>
      <c r="DG113" s="84"/>
      <c r="DK113" s="84"/>
      <c r="DO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5"/>
      <c r="AM114" s="84"/>
      <c r="AN114" s="84"/>
      <c r="AP114" s="84"/>
      <c r="AU114" s="84"/>
      <c r="AY114" s="86"/>
      <c r="BE114" s="84"/>
      <c r="BJ114" s="84"/>
      <c r="BO114" s="84"/>
      <c r="BT114" s="84"/>
      <c r="BY114" s="84"/>
      <c r="CC114" s="84"/>
      <c r="CG114" s="84"/>
      <c r="CK114" s="85"/>
      <c r="CL114" s="85"/>
      <c r="CM114" s="84"/>
      <c r="CO114" s="84"/>
      <c r="CT114" s="84"/>
      <c r="CY114" s="84"/>
      <c r="DC114" s="84"/>
      <c r="DG114" s="84"/>
      <c r="DK114" s="84"/>
      <c r="DO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5"/>
      <c r="AM115" s="84"/>
      <c r="AN115" s="84"/>
      <c r="AP115" s="84"/>
      <c r="AU115" s="84"/>
      <c r="AY115" s="86"/>
      <c r="BE115" s="84"/>
      <c r="BJ115" s="84"/>
      <c r="BO115" s="84"/>
      <c r="BT115" s="84"/>
      <c r="BY115" s="84"/>
      <c r="CC115" s="84"/>
      <c r="CG115" s="84"/>
      <c r="CK115" s="85"/>
      <c r="CL115" s="85"/>
      <c r="CM115" s="84"/>
      <c r="CO115" s="84"/>
      <c r="CT115" s="84"/>
      <c r="CY115" s="84"/>
      <c r="DC115" s="84"/>
      <c r="DG115" s="84"/>
      <c r="DK115" s="84"/>
      <c r="DO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5"/>
      <c r="AM116" s="84"/>
      <c r="AN116" s="84"/>
      <c r="AP116" s="84"/>
      <c r="AU116" s="84"/>
      <c r="AY116" s="86"/>
      <c r="BE116" s="84"/>
      <c r="BJ116" s="84"/>
      <c r="BO116" s="84"/>
      <c r="BT116" s="84"/>
      <c r="BY116" s="84"/>
      <c r="CC116" s="84"/>
      <c r="CG116" s="84"/>
      <c r="CK116" s="85"/>
      <c r="CL116" s="85"/>
      <c r="CM116" s="84"/>
      <c r="CO116" s="84"/>
      <c r="CT116" s="84"/>
      <c r="CY116" s="84"/>
      <c r="DC116" s="84"/>
      <c r="DG116" s="84"/>
      <c r="DK116" s="84"/>
      <c r="DO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5"/>
      <c r="AM117" s="84"/>
      <c r="AN117" s="84"/>
      <c r="AP117" s="84"/>
      <c r="AU117" s="84"/>
      <c r="AY117" s="86"/>
      <c r="BE117" s="84"/>
      <c r="BJ117" s="84"/>
      <c r="BO117" s="84"/>
      <c r="BT117" s="84"/>
      <c r="BY117" s="84"/>
      <c r="CC117" s="84"/>
      <c r="CG117" s="84"/>
      <c r="CK117" s="85"/>
      <c r="CL117" s="85"/>
      <c r="CM117" s="84"/>
      <c r="CO117" s="84"/>
      <c r="CT117" s="84"/>
      <c r="CY117" s="84"/>
      <c r="DC117" s="84"/>
      <c r="DG117" s="84"/>
      <c r="DK117" s="84"/>
      <c r="DO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5"/>
      <c r="AM118" s="84"/>
      <c r="AN118" s="84"/>
      <c r="AP118" s="84"/>
      <c r="AU118" s="84"/>
      <c r="AY118" s="86"/>
      <c r="BE118" s="84"/>
      <c r="BJ118" s="84"/>
      <c r="BO118" s="84"/>
      <c r="BT118" s="84"/>
      <c r="BY118" s="84"/>
      <c r="CC118" s="84"/>
      <c r="CG118" s="84"/>
      <c r="CK118" s="85"/>
      <c r="CL118" s="85"/>
      <c r="CM118" s="84"/>
      <c r="CO118" s="84"/>
      <c r="CT118" s="84"/>
      <c r="CY118" s="84"/>
      <c r="DC118" s="84"/>
      <c r="DG118" s="84"/>
      <c r="DK118" s="84"/>
      <c r="DO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5"/>
      <c r="AM119" s="84"/>
      <c r="AN119" s="84"/>
      <c r="AP119" s="84"/>
      <c r="AU119" s="84"/>
      <c r="AY119" s="86"/>
      <c r="BE119" s="84"/>
      <c r="BJ119" s="84"/>
      <c r="BO119" s="84"/>
      <c r="BT119" s="84"/>
      <c r="BY119" s="84"/>
      <c r="CC119" s="84"/>
      <c r="CG119" s="84"/>
      <c r="CK119" s="85"/>
      <c r="CL119" s="85"/>
      <c r="CM119" s="84"/>
      <c r="CO119" s="84"/>
      <c r="CT119" s="84"/>
      <c r="CY119" s="84"/>
      <c r="DC119" s="84"/>
      <c r="DG119" s="84"/>
      <c r="DK119" s="84"/>
      <c r="DO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5"/>
      <c r="AM120" s="84"/>
      <c r="AN120" s="84"/>
      <c r="AP120" s="84"/>
      <c r="AU120" s="84"/>
      <c r="AY120" s="86"/>
      <c r="BE120" s="84"/>
      <c r="BJ120" s="84"/>
      <c r="BO120" s="84"/>
      <c r="BT120" s="84"/>
      <c r="BY120" s="84"/>
      <c r="CC120" s="84"/>
      <c r="CG120" s="84"/>
      <c r="CK120" s="85"/>
      <c r="CL120" s="85"/>
      <c r="CM120" s="84"/>
      <c r="CO120" s="84"/>
      <c r="CT120" s="84"/>
      <c r="CY120" s="84"/>
      <c r="DC120" s="84"/>
      <c r="DG120" s="84"/>
      <c r="DK120" s="84"/>
      <c r="DO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5"/>
      <c r="AM121" s="84"/>
      <c r="AN121" s="84"/>
      <c r="AP121" s="84"/>
      <c r="AU121" s="84"/>
      <c r="AY121" s="86"/>
      <c r="BE121" s="84"/>
      <c r="BJ121" s="84"/>
      <c r="BO121" s="84"/>
      <c r="BT121" s="84"/>
      <c r="BY121" s="84"/>
      <c r="CC121" s="84"/>
      <c r="CG121" s="84"/>
      <c r="CK121" s="85"/>
      <c r="CL121" s="85"/>
      <c r="CM121" s="84"/>
      <c r="CO121" s="84"/>
      <c r="CT121" s="84"/>
      <c r="CY121" s="84"/>
      <c r="DC121" s="84"/>
      <c r="DG121" s="84"/>
      <c r="DK121" s="84"/>
      <c r="DO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5"/>
      <c r="AM122" s="84"/>
      <c r="AN122" s="84"/>
      <c r="AP122" s="84"/>
      <c r="AU122" s="84"/>
      <c r="AY122" s="86"/>
      <c r="BE122" s="84"/>
      <c r="BJ122" s="84"/>
      <c r="BO122" s="84"/>
      <c r="BT122" s="84"/>
      <c r="BY122" s="84"/>
      <c r="CC122" s="84"/>
      <c r="CG122" s="84"/>
      <c r="CK122" s="85"/>
      <c r="CL122" s="85"/>
      <c r="CM122" s="84"/>
      <c r="CO122" s="84"/>
      <c r="CT122" s="84"/>
      <c r="CY122" s="84"/>
      <c r="DC122" s="84"/>
      <c r="DG122" s="84"/>
      <c r="DK122" s="84"/>
      <c r="DO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5"/>
      <c r="AM123" s="84"/>
      <c r="AN123" s="84"/>
      <c r="AP123" s="84"/>
      <c r="AU123" s="84"/>
      <c r="AY123" s="86"/>
      <c r="BE123" s="84"/>
      <c r="BJ123" s="84"/>
      <c r="BO123" s="84"/>
      <c r="BT123" s="84"/>
      <c r="BY123" s="84"/>
      <c r="CC123" s="84"/>
      <c r="CG123" s="84"/>
      <c r="CK123" s="85"/>
      <c r="CL123" s="85"/>
      <c r="CM123" s="84"/>
      <c r="CO123" s="84"/>
      <c r="CT123" s="84"/>
      <c r="CY123" s="84"/>
      <c r="DC123" s="84"/>
      <c r="DG123" s="84"/>
      <c r="DK123" s="84"/>
      <c r="DO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5"/>
      <c r="AM124" s="84"/>
      <c r="AN124" s="84"/>
      <c r="AP124" s="84"/>
      <c r="AU124" s="84"/>
      <c r="AY124" s="86"/>
      <c r="BE124" s="84"/>
      <c r="BJ124" s="84"/>
      <c r="BO124" s="84"/>
      <c r="BT124" s="84"/>
      <c r="BY124" s="84"/>
      <c r="CC124" s="84"/>
      <c r="CG124" s="84"/>
      <c r="CK124" s="85"/>
      <c r="CL124" s="85"/>
      <c r="CM124" s="84"/>
      <c r="CO124" s="84"/>
      <c r="CT124" s="84"/>
      <c r="CY124" s="84"/>
      <c r="DC124" s="84"/>
      <c r="DG124" s="84"/>
      <c r="DK124" s="84"/>
      <c r="DO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5"/>
      <c r="AM125" s="84"/>
      <c r="AN125" s="84"/>
      <c r="AP125" s="84"/>
      <c r="AU125" s="84"/>
      <c r="AY125" s="86"/>
      <c r="BE125" s="84"/>
      <c r="BJ125" s="84"/>
      <c r="BO125" s="84"/>
      <c r="BT125" s="84"/>
      <c r="BY125" s="84"/>
      <c r="CC125" s="84"/>
      <c r="CG125" s="84"/>
      <c r="CK125" s="85"/>
      <c r="CL125" s="85"/>
      <c r="CM125" s="84"/>
      <c r="CO125" s="84"/>
      <c r="CT125" s="84"/>
      <c r="CY125" s="84"/>
      <c r="DC125" s="84"/>
      <c r="DG125" s="84"/>
      <c r="DK125" s="84"/>
      <c r="DO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5"/>
      <c r="AM126" s="84"/>
      <c r="AN126" s="84"/>
      <c r="AP126" s="84"/>
      <c r="AU126" s="84"/>
      <c r="AY126" s="86"/>
      <c r="BE126" s="84"/>
      <c r="BJ126" s="84"/>
      <c r="BO126" s="84"/>
      <c r="BT126" s="84"/>
      <c r="BY126" s="84"/>
      <c r="CC126" s="84"/>
      <c r="CG126" s="84"/>
      <c r="CK126" s="85"/>
      <c r="CL126" s="85"/>
      <c r="CM126" s="84"/>
      <c r="CO126" s="84"/>
      <c r="CT126" s="84"/>
      <c r="CY126" s="84"/>
      <c r="DC126" s="84"/>
      <c r="DG126" s="84"/>
      <c r="DK126" s="84"/>
      <c r="DO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5"/>
      <c r="AM127" s="84"/>
      <c r="AN127" s="84"/>
      <c r="AP127" s="84"/>
      <c r="AU127" s="84"/>
      <c r="AY127" s="86"/>
      <c r="BE127" s="84"/>
      <c r="BJ127" s="84"/>
      <c r="BO127" s="84"/>
      <c r="BT127" s="84"/>
      <c r="BY127" s="84"/>
      <c r="CC127" s="84"/>
      <c r="CG127" s="84"/>
      <c r="CK127" s="85"/>
      <c r="CL127" s="85"/>
      <c r="CM127" s="84"/>
      <c r="CO127" s="84"/>
      <c r="CT127" s="84"/>
      <c r="CY127" s="84"/>
      <c r="DC127" s="84"/>
      <c r="DG127" s="84"/>
      <c r="DK127" s="84"/>
      <c r="DO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5"/>
      <c r="AM128" s="84"/>
      <c r="AN128" s="84"/>
      <c r="AP128" s="84"/>
      <c r="AU128" s="84"/>
      <c r="AY128" s="86"/>
      <c r="BE128" s="84"/>
      <c r="BJ128" s="84"/>
      <c r="BO128" s="84"/>
      <c r="BT128" s="84"/>
      <c r="BY128" s="84"/>
      <c r="CC128" s="84"/>
      <c r="CG128" s="84"/>
      <c r="CK128" s="85"/>
      <c r="CL128" s="85"/>
      <c r="CM128" s="84"/>
      <c r="CO128" s="84"/>
      <c r="CT128" s="84"/>
      <c r="CY128" s="84"/>
      <c r="DC128" s="84"/>
      <c r="DG128" s="84"/>
      <c r="DK128" s="84"/>
      <c r="DO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5"/>
      <c r="AM129" s="84"/>
      <c r="AN129" s="84"/>
      <c r="AP129" s="84"/>
      <c r="AU129" s="84"/>
      <c r="AY129" s="86"/>
      <c r="BE129" s="84"/>
      <c r="BJ129" s="84"/>
      <c r="BO129" s="84"/>
      <c r="BT129" s="84"/>
      <c r="BY129" s="84"/>
      <c r="CC129" s="84"/>
      <c r="CG129" s="84"/>
      <c r="CK129" s="85"/>
      <c r="CL129" s="85"/>
      <c r="CM129" s="84"/>
      <c r="CO129" s="84"/>
      <c r="CT129" s="84"/>
      <c r="CY129" s="84"/>
      <c r="DC129" s="84"/>
      <c r="DG129" s="84"/>
      <c r="DK129" s="84"/>
      <c r="DO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5"/>
      <c r="AM130" s="84"/>
      <c r="AN130" s="84"/>
      <c r="AP130" s="84"/>
      <c r="AU130" s="84"/>
      <c r="AY130" s="86"/>
      <c r="BE130" s="84"/>
      <c r="BJ130" s="84"/>
      <c r="BO130" s="84"/>
      <c r="BT130" s="84"/>
      <c r="BY130" s="84"/>
      <c r="CC130" s="84"/>
      <c r="CG130" s="84"/>
      <c r="CK130" s="85"/>
      <c r="CL130" s="85"/>
      <c r="CM130" s="84"/>
      <c r="CO130" s="84"/>
      <c r="CT130" s="84"/>
      <c r="CY130" s="84"/>
      <c r="DC130" s="84"/>
      <c r="DG130" s="84"/>
      <c r="DK130" s="84"/>
      <c r="DO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5"/>
      <c r="AM131" s="84"/>
      <c r="AN131" s="84"/>
      <c r="AP131" s="84"/>
      <c r="AU131" s="84"/>
      <c r="AY131" s="86"/>
      <c r="BE131" s="84"/>
      <c r="BJ131" s="84"/>
      <c r="BO131" s="84"/>
      <c r="BT131" s="84"/>
      <c r="BY131" s="84"/>
      <c r="CC131" s="84"/>
      <c r="CG131" s="84"/>
      <c r="CK131" s="85"/>
      <c r="CL131" s="85"/>
      <c r="CM131" s="84"/>
      <c r="CO131" s="84"/>
      <c r="CT131" s="84"/>
      <c r="CY131" s="84"/>
      <c r="DC131" s="84"/>
      <c r="DG131" s="84"/>
      <c r="DK131" s="84"/>
      <c r="DO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5"/>
      <c r="AM132" s="84"/>
      <c r="AN132" s="84"/>
      <c r="AP132" s="84"/>
      <c r="AU132" s="84"/>
      <c r="AY132" s="86"/>
      <c r="BE132" s="84"/>
      <c r="BJ132" s="84"/>
      <c r="BO132" s="84"/>
      <c r="BT132" s="84"/>
      <c r="BY132" s="84"/>
      <c r="CC132" s="84"/>
      <c r="CG132" s="84"/>
      <c r="CK132" s="85"/>
      <c r="CL132" s="85"/>
      <c r="CM132" s="84"/>
      <c r="CO132" s="84"/>
      <c r="CT132" s="84"/>
      <c r="CY132" s="84"/>
      <c r="DC132" s="84"/>
      <c r="DG132" s="84"/>
      <c r="DK132" s="84"/>
      <c r="DO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5"/>
      <c r="AM133" s="84"/>
      <c r="AN133" s="84"/>
      <c r="AP133" s="84"/>
      <c r="AU133" s="84"/>
      <c r="AY133" s="86"/>
      <c r="BE133" s="84"/>
      <c r="BJ133" s="84"/>
      <c r="BO133" s="84"/>
      <c r="BT133" s="84"/>
      <c r="BY133" s="84"/>
      <c r="CC133" s="84"/>
      <c r="CG133" s="84"/>
      <c r="CK133" s="85"/>
      <c r="CL133" s="85"/>
      <c r="CM133" s="84"/>
      <c r="CO133" s="84"/>
      <c r="CT133" s="84"/>
      <c r="CY133" s="84"/>
      <c r="DC133" s="84"/>
      <c r="DG133" s="84"/>
      <c r="DK133" s="84"/>
      <c r="DO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5"/>
      <c r="AM134" s="84"/>
      <c r="AN134" s="84"/>
      <c r="AP134" s="84"/>
      <c r="AU134" s="84"/>
      <c r="AY134" s="86"/>
      <c r="BE134" s="84"/>
      <c r="BJ134" s="84"/>
      <c r="BO134" s="84"/>
      <c r="BT134" s="84"/>
      <c r="BY134" s="84"/>
      <c r="CC134" s="84"/>
      <c r="CG134" s="84"/>
      <c r="CK134" s="85"/>
      <c r="CL134" s="85"/>
      <c r="CM134" s="84"/>
      <c r="CO134" s="84"/>
      <c r="CT134" s="84"/>
      <c r="CY134" s="84"/>
      <c r="DC134" s="84"/>
      <c r="DG134" s="84"/>
      <c r="DK134" s="84"/>
      <c r="DO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5"/>
      <c r="AM135" s="84"/>
      <c r="AN135" s="84"/>
      <c r="AP135" s="84"/>
      <c r="AU135" s="84"/>
      <c r="AY135" s="86"/>
      <c r="BE135" s="84"/>
      <c r="BJ135" s="84"/>
      <c r="BO135" s="84"/>
      <c r="BT135" s="84"/>
      <c r="BY135" s="84"/>
      <c r="CC135" s="84"/>
      <c r="CG135" s="84"/>
      <c r="CK135" s="85"/>
      <c r="CL135" s="85"/>
      <c r="CM135" s="84"/>
      <c r="CO135" s="84"/>
      <c r="CT135" s="84"/>
      <c r="CY135" s="84"/>
      <c r="DC135" s="84"/>
      <c r="DG135" s="84"/>
      <c r="DK135" s="84"/>
      <c r="DO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5"/>
      <c r="AM136" s="84"/>
      <c r="AN136" s="84"/>
      <c r="AP136" s="84"/>
      <c r="AU136" s="84"/>
      <c r="AY136" s="86"/>
      <c r="BE136" s="84"/>
      <c r="BJ136" s="84"/>
      <c r="BO136" s="84"/>
      <c r="BT136" s="84"/>
      <c r="BY136" s="84"/>
      <c r="CC136" s="84"/>
      <c r="CG136" s="84"/>
      <c r="CK136" s="85"/>
      <c r="CL136" s="85"/>
      <c r="CM136" s="84"/>
      <c r="CO136" s="84"/>
      <c r="CT136" s="84"/>
      <c r="CY136" s="84"/>
      <c r="DC136" s="84"/>
      <c r="DG136" s="84"/>
      <c r="DK136" s="84"/>
      <c r="DO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5"/>
      <c r="AM137" s="84"/>
      <c r="AN137" s="84"/>
      <c r="AP137" s="84"/>
      <c r="AU137" s="84"/>
      <c r="AY137" s="86"/>
      <c r="BE137" s="84"/>
      <c r="BJ137" s="84"/>
      <c r="BO137" s="84"/>
      <c r="BT137" s="84"/>
      <c r="BY137" s="84"/>
      <c r="CC137" s="84"/>
      <c r="CG137" s="84"/>
      <c r="CK137" s="85"/>
      <c r="CL137" s="85"/>
      <c r="CM137" s="84"/>
      <c r="CO137" s="84"/>
      <c r="CT137" s="84"/>
      <c r="CY137" s="84"/>
      <c r="DC137" s="84"/>
      <c r="DG137" s="84"/>
      <c r="DK137" s="84"/>
      <c r="DO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5"/>
      <c r="AM138" s="84"/>
      <c r="AN138" s="84"/>
      <c r="AP138" s="84"/>
      <c r="AU138" s="84"/>
      <c r="AY138" s="86"/>
      <c r="BE138" s="84"/>
      <c r="BJ138" s="84"/>
      <c r="BO138" s="84"/>
      <c r="BT138" s="84"/>
      <c r="BY138" s="84"/>
      <c r="CC138" s="84"/>
      <c r="CG138" s="84"/>
      <c r="CK138" s="85"/>
      <c r="CL138" s="85"/>
      <c r="CM138" s="84"/>
      <c r="CO138" s="84"/>
      <c r="CT138" s="84"/>
      <c r="CY138" s="84"/>
      <c r="DC138" s="84"/>
      <c r="DG138" s="84"/>
      <c r="DK138" s="84"/>
      <c r="DO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5"/>
      <c r="AM139" s="84"/>
      <c r="AN139" s="84"/>
      <c r="AP139" s="84"/>
      <c r="AU139" s="84"/>
      <c r="AY139" s="86"/>
      <c r="BE139" s="84"/>
      <c r="BJ139" s="84"/>
      <c r="BO139" s="84"/>
      <c r="BT139" s="84"/>
      <c r="BY139" s="84"/>
      <c r="CC139" s="84"/>
      <c r="CG139" s="84"/>
      <c r="CK139" s="85"/>
      <c r="CL139" s="85"/>
      <c r="CM139" s="84"/>
      <c r="CO139" s="84"/>
      <c r="CT139" s="84"/>
      <c r="CY139" s="84"/>
      <c r="DC139" s="84"/>
      <c r="DG139" s="84"/>
      <c r="DK139" s="84"/>
      <c r="DO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5"/>
      <c r="AM140" s="84"/>
      <c r="AN140" s="84"/>
      <c r="AP140" s="84"/>
      <c r="AU140" s="84"/>
      <c r="AY140" s="86"/>
      <c r="BE140" s="84"/>
      <c r="BJ140" s="84"/>
      <c r="BO140" s="84"/>
      <c r="BT140" s="84"/>
      <c r="BY140" s="84"/>
      <c r="CC140" s="84"/>
      <c r="CG140" s="84"/>
      <c r="CK140" s="85"/>
      <c r="CL140" s="85"/>
      <c r="CM140" s="84"/>
      <c r="CO140" s="84"/>
      <c r="CT140" s="84"/>
      <c r="CY140" s="84"/>
      <c r="DC140" s="84"/>
      <c r="DG140" s="84"/>
      <c r="DK140" s="84"/>
      <c r="DO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5"/>
      <c r="AM141" s="84"/>
      <c r="AN141" s="84"/>
      <c r="AP141" s="84"/>
      <c r="AU141" s="84"/>
      <c r="AY141" s="86"/>
      <c r="BE141" s="84"/>
      <c r="BJ141" s="84"/>
      <c r="BO141" s="84"/>
      <c r="BT141" s="84"/>
      <c r="BY141" s="84"/>
      <c r="CC141" s="84"/>
      <c r="CG141" s="84"/>
      <c r="CK141" s="85"/>
      <c r="CL141" s="85"/>
      <c r="CM141" s="84"/>
      <c r="CO141" s="84"/>
      <c r="CT141" s="84"/>
      <c r="CY141" s="84"/>
      <c r="DC141" s="84"/>
      <c r="DG141" s="84"/>
      <c r="DK141" s="84"/>
      <c r="DO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5"/>
      <c r="AM142" s="84"/>
      <c r="AN142" s="84"/>
      <c r="AP142" s="84"/>
      <c r="AU142" s="84"/>
      <c r="AY142" s="86"/>
      <c r="BE142" s="84"/>
      <c r="BJ142" s="84"/>
      <c r="BO142" s="84"/>
      <c r="BT142" s="84"/>
      <c r="BY142" s="84"/>
      <c r="CC142" s="84"/>
      <c r="CG142" s="84"/>
      <c r="CK142" s="85"/>
      <c r="CL142" s="85"/>
      <c r="CM142" s="84"/>
      <c r="CO142" s="84"/>
      <c r="CT142" s="84"/>
      <c r="CY142" s="84"/>
      <c r="DC142" s="84"/>
      <c r="DG142" s="84"/>
      <c r="DK142" s="84"/>
      <c r="DO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5"/>
      <c r="AM143" s="84"/>
      <c r="AN143" s="84"/>
      <c r="AP143" s="84"/>
      <c r="AU143" s="84"/>
      <c r="AY143" s="86"/>
      <c r="BE143" s="84"/>
      <c r="BJ143" s="84"/>
      <c r="BO143" s="84"/>
      <c r="BT143" s="84"/>
      <c r="BY143" s="84"/>
      <c r="CC143" s="84"/>
      <c r="CG143" s="84"/>
      <c r="CK143" s="85"/>
      <c r="CL143" s="85"/>
      <c r="CM143" s="84"/>
      <c r="CO143" s="84"/>
      <c r="CT143" s="84"/>
      <c r="CY143" s="84"/>
      <c r="DC143" s="84"/>
      <c r="DG143" s="84"/>
      <c r="DK143" s="84"/>
      <c r="DO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5"/>
      <c r="AM144" s="84"/>
      <c r="AN144" s="84"/>
      <c r="AP144" s="84"/>
      <c r="AU144" s="84"/>
      <c r="AY144" s="86"/>
      <c r="BE144" s="84"/>
      <c r="BJ144" s="84"/>
      <c r="BO144" s="84"/>
      <c r="BT144" s="84"/>
      <c r="BY144" s="84"/>
      <c r="CC144" s="84"/>
      <c r="CG144" s="84"/>
      <c r="CK144" s="85"/>
      <c r="CL144" s="85"/>
      <c r="CM144" s="84"/>
      <c r="CO144" s="84"/>
      <c r="CT144" s="84"/>
      <c r="CY144" s="84"/>
      <c r="DC144" s="84"/>
      <c r="DG144" s="84"/>
      <c r="DK144" s="84"/>
      <c r="DO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5"/>
      <c r="AM145" s="84"/>
      <c r="AN145" s="84"/>
      <c r="AP145" s="84"/>
      <c r="AU145" s="84"/>
      <c r="AY145" s="86"/>
      <c r="BE145" s="84"/>
      <c r="BJ145" s="84"/>
      <c r="BO145" s="84"/>
      <c r="BT145" s="84"/>
      <c r="BY145" s="84"/>
      <c r="CC145" s="84"/>
      <c r="CG145" s="84"/>
      <c r="CK145" s="85"/>
      <c r="CL145" s="85"/>
      <c r="CM145" s="84"/>
      <c r="CO145" s="84"/>
      <c r="CT145" s="84"/>
      <c r="CY145" s="84"/>
      <c r="DC145" s="84"/>
      <c r="DG145" s="84"/>
      <c r="DK145" s="84"/>
      <c r="DO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5"/>
      <c r="AM146" s="84"/>
      <c r="AN146" s="84"/>
      <c r="AP146" s="84"/>
      <c r="AU146" s="84"/>
      <c r="AY146" s="86"/>
      <c r="BE146" s="84"/>
      <c r="BJ146" s="84"/>
      <c r="BO146" s="84"/>
      <c r="BT146" s="84"/>
      <c r="BY146" s="84"/>
      <c r="CC146" s="84"/>
      <c r="CG146" s="84"/>
      <c r="CK146" s="85"/>
      <c r="CL146" s="85"/>
      <c r="CM146" s="84"/>
      <c r="CO146" s="84"/>
      <c r="CT146" s="84"/>
      <c r="CY146" s="84"/>
      <c r="DC146" s="84"/>
      <c r="DG146" s="84"/>
      <c r="DK146" s="84"/>
      <c r="DO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5"/>
      <c r="AM147" s="84"/>
      <c r="AN147" s="84"/>
      <c r="AP147" s="84"/>
      <c r="AU147" s="84"/>
      <c r="AY147" s="86"/>
      <c r="BE147" s="84"/>
      <c r="BJ147" s="84"/>
      <c r="BO147" s="84"/>
      <c r="BT147" s="84"/>
      <c r="BY147" s="84"/>
      <c r="CC147" s="84"/>
      <c r="CG147" s="84"/>
      <c r="CK147" s="85"/>
      <c r="CL147" s="85"/>
      <c r="CM147" s="84"/>
      <c r="CO147" s="84"/>
      <c r="CT147" s="84"/>
      <c r="CY147" s="84"/>
      <c r="DC147" s="84"/>
      <c r="DG147" s="84"/>
      <c r="DK147" s="84"/>
      <c r="DO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5"/>
      <c r="AM148" s="84"/>
      <c r="AN148" s="84"/>
      <c r="AP148" s="84"/>
      <c r="AU148" s="84"/>
      <c r="AY148" s="86"/>
      <c r="BE148" s="84"/>
      <c r="BJ148" s="84"/>
      <c r="BO148" s="84"/>
      <c r="BT148" s="84"/>
      <c r="BY148" s="84"/>
      <c r="CC148" s="84"/>
      <c r="CG148" s="84"/>
      <c r="CK148" s="85"/>
      <c r="CL148" s="85"/>
      <c r="CM148" s="84"/>
      <c r="CO148" s="84"/>
      <c r="CT148" s="84"/>
      <c r="CY148" s="84"/>
      <c r="DC148" s="84"/>
      <c r="DG148" s="84"/>
      <c r="DK148" s="84"/>
      <c r="DO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5"/>
      <c r="AM149" s="84"/>
      <c r="AN149" s="84"/>
      <c r="AP149" s="84"/>
      <c r="AU149" s="84"/>
      <c r="AY149" s="86"/>
      <c r="BE149" s="84"/>
      <c r="BJ149" s="84"/>
      <c r="BO149" s="84"/>
      <c r="BT149" s="84"/>
      <c r="BY149" s="84"/>
      <c r="CC149" s="84"/>
      <c r="CG149" s="84"/>
      <c r="CK149" s="85"/>
      <c r="CL149" s="85"/>
      <c r="CM149" s="84"/>
      <c r="CO149" s="84"/>
      <c r="CT149" s="84"/>
      <c r="CY149" s="84"/>
      <c r="DC149" s="84"/>
      <c r="DG149" s="84"/>
      <c r="DK149" s="84"/>
      <c r="DO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5"/>
      <c r="AM150" s="84"/>
      <c r="AN150" s="84"/>
      <c r="AP150" s="84"/>
      <c r="AU150" s="84"/>
      <c r="AY150" s="86"/>
      <c r="BE150" s="84"/>
      <c r="BJ150" s="84"/>
      <c r="BO150" s="84"/>
      <c r="BT150" s="84"/>
      <c r="BY150" s="84"/>
      <c r="CC150" s="84"/>
      <c r="CG150" s="84"/>
      <c r="CK150" s="85"/>
      <c r="CL150" s="85"/>
      <c r="CM150" s="84"/>
      <c r="CO150" s="84"/>
      <c r="CT150" s="84"/>
      <c r="CY150" s="84"/>
      <c r="DC150" s="84"/>
      <c r="DG150" s="84"/>
      <c r="DK150" s="84"/>
      <c r="DO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5"/>
      <c r="AM151" s="84"/>
      <c r="AN151" s="84"/>
      <c r="AP151" s="84"/>
      <c r="AU151" s="84"/>
      <c r="AY151" s="86"/>
      <c r="BE151" s="84"/>
      <c r="BJ151" s="84"/>
      <c r="BO151" s="84"/>
      <c r="BT151" s="84"/>
      <c r="BY151" s="84"/>
      <c r="CC151" s="84"/>
      <c r="CG151" s="84"/>
      <c r="CK151" s="85"/>
      <c r="CL151" s="85"/>
      <c r="CM151" s="84"/>
      <c r="CO151" s="84"/>
      <c r="CT151" s="84"/>
      <c r="CY151" s="84"/>
      <c r="DC151" s="84"/>
      <c r="DG151" s="84"/>
      <c r="DK151" s="84"/>
      <c r="DO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5"/>
      <c r="AM152" s="84"/>
      <c r="AN152" s="84"/>
      <c r="AP152" s="84"/>
      <c r="AU152" s="84"/>
      <c r="AY152" s="86"/>
      <c r="BE152" s="84"/>
      <c r="BJ152" s="84"/>
      <c r="BO152" s="84"/>
      <c r="BT152" s="84"/>
      <c r="BY152" s="84"/>
      <c r="CC152" s="84"/>
      <c r="CG152" s="84"/>
      <c r="CK152" s="85"/>
      <c r="CL152" s="85"/>
      <c r="CM152" s="84"/>
      <c r="CO152" s="84"/>
      <c r="CT152" s="84"/>
      <c r="CY152" s="84"/>
      <c r="DC152" s="84"/>
      <c r="DG152" s="84"/>
      <c r="DK152" s="84"/>
      <c r="DO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5"/>
      <c r="AM153" s="84"/>
      <c r="AN153" s="84"/>
      <c r="AP153" s="84"/>
      <c r="AU153" s="84"/>
      <c r="AY153" s="86"/>
      <c r="BE153" s="84"/>
      <c r="BJ153" s="84"/>
      <c r="BO153" s="84"/>
      <c r="BT153" s="84"/>
      <c r="BY153" s="84"/>
      <c r="CC153" s="84"/>
      <c r="CG153" s="84"/>
      <c r="CK153" s="85"/>
      <c r="CL153" s="85"/>
      <c r="CM153" s="84"/>
      <c r="CO153" s="84"/>
      <c r="CT153" s="84"/>
      <c r="CY153" s="84"/>
      <c r="DC153" s="84"/>
      <c r="DG153" s="84"/>
      <c r="DK153" s="84"/>
      <c r="DO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5"/>
      <c r="AM154" s="84"/>
      <c r="AN154" s="84"/>
      <c r="AP154" s="84"/>
      <c r="AU154" s="84"/>
      <c r="AY154" s="86"/>
      <c r="BE154" s="84"/>
      <c r="BJ154" s="84"/>
      <c r="BO154" s="84"/>
      <c r="BT154" s="84"/>
      <c r="BY154" s="84"/>
      <c r="CC154" s="84"/>
      <c r="CG154" s="84"/>
      <c r="CK154" s="85"/>
      <c r="CL154" s="85"/>
      <c r="CM154" s="84"/>
      <c r="CO154" s="84"/>
      <c r="CT154" s="84"/>
      <c r="CY154" s="84"/>
      <c r="DC154" s="84"/>
      <c r="DG154" s="84"/>
      <c r="DK154" s="84"/>
      <c r="DO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5"/>
      <c r="AM155" s="84"/>
      <c r="AN155" s="84"/>
      <c r="AP155" s="84"/>
      <c r="AU155" s="84"/>
      <c r="AY155" s="86"/>
      <c r="BE155" s="84"/>
      <c r="BJ155" s="84"/>
      <c r="BO155" s="84"/>
      <c r="BT155" s="84"/>
      <c r="BY155" s="84"/>
      <c r="CC155" s="84"/>
      <c r="CG155" s="84"/>
      <c r="CK155" s="85"/>
      <c r="CL155" s="85"/>
      <c r="CM155" s="84"/>
      <c r="CO155" s="84"/>
      <c r="CT155" s="84"/>
      <c r="CY155" s="84"/>
      <c r="DC155" s="84"/>
      <c r="DG155" s="84"/>
      <c r="DK155" s="84"/>
      <c r="DO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5"/>
      <c r="AM156" s="84"/>
      <c r="AN156" s="84"/>
      <c r="AP156" s="84"/>
      <c r="AU156" s="84"/>
      <c r="AY156" s="86"/>
      <c r="BE156" s="84"/>
      <c r="BJ156" s="84"/>
      <c r="BO156" s="84"/>
      <c r="BT156" s="84"/>
      <c r="BY156" s="84"/>
      <c r="CC156" s="84"/>
      <c r="CG156" s="84"/>
      <c r="CK156" s="85"/>
      <c r="CL156" s="85"/>
      <c r="CM156" s="84"/>
      <c r="CO156" s="84"/>
      <c r="CT156" s="84"/>
      <c r="CY156" s="84"/>
      <c r="DC156" s="84"/>
      <c r="DG156" s="84"/>
      <c r="DK156" s="84"/>
      <c r="DO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5"/>
      <c r="AM157" s="84"/>
      <c r="AN157" s="84"/>
      <c r="AP157" s="84"/>
      <c r="AU157" s="84"/>
      <c r="AY157" s="86"/>
      <c r="BE157" s="84"/>
      <c r="BJ157" s="84"/>
      <c r="BO157" s="84"/>
      <c r="BT157" s="84"/>
      <c r="BY157" s="84"/>
      <c r="CC157" s="84"/>
      <c r="CG157" s="84"/>
      <c r="CK157" s="85"/>
      <c r="CL157" s="85"/>
      <c r="CM157" s="84"/>
      <c r="CO157" s="84"/>
      <c r="CT157" s="84"/>
      <c r="CY157" s="84"/>
      <c r="DC157" s="84"/>
      <c r="DG157" s="84"/>
      <c r="DK157" s="84"/>
      <c r="DO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5"/>
      <c r="AM158" s="84"/>
      <c r="AN158" s="84"/>
      <c r="AP158" s="84"/>
      <c r="AU158" s="84"/>
      <c r="AY158" s="86"/>
      <c r="BE158" s="84"/>
      <c r="BJ158" s="84"/>
      <c r="BO158" s="84"/>
      <c r="BT158" s="84"/>
      <c r="BY158" s="84"/>
      <c r="CC158" s="84"/>
      <c r="CG158" s="84"/>
      <c r="CK158" s="85"/>
      <c r="CL158" s="85"/>
      <c r="CM158" s="84"/>
      <c r="CO158" s="84"/>
      <c r="CT158" s="84"/>
      <c r="CY158" s="84"/>
      <c r="DC158" s="84"/>
      <c r="DG158" s="84"/>
      <c r="DK158" s="84"/>
      <c r="DO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5"/>
      <c r="AM159" s="84"/>
      <c r="AN159" s="84"/>
      <c r="AP159" s="84"/>
      <c r="AU159" s="84"/>
      <c r="AY159" s="86"/>
      <c r="BE159" s="84"/>
      <c r="BJ159" s="84"/>
      <c r="BO159" s="84"/>
      <c r="BT159" s="84"/>
      <c r="BY159" s="84"/>
      <c r="CC159" s="84"/>
      <c r="CG159" s="84"/>
      <c r="CK159" s="85"/>
      <c r="CL159" s="85"/>
      <c r="CM159" s="84"/>
      <c r="CO159" s="84"/>
      <c r="CT159" s="84"/>
      <c r="CY159" s="84"/>
      <c r="DC159" s="84"/>
      <c r="DG159" s="84"/>
      <c r="DK159" s="84"/>
      <c r="DO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5"/>
      <c r="AM160" s="84"/>
      <c r="AN160" s="84"/>
      <c r="AP160" s="84"/>
      <c r="AU160" s="84"/>
      <c r="AY160" s="86"/>
      <c r="BE160" s="84"/>
      <c r="BJ160" s="84"/>
      <c r="BO160" s="84"/>
      <c r="BT160" s="84"/>
      <c r="BY160" s="84"/>
      <c r="CC160" s="84"/>
      <c r="CG160" s="84"/>
      <c r="CK160" s="85"/>
      <c r="CL160" s="85"/>
      <c r="CM160" s="84"/>
      <c r="CO160" s="84"/>
      <c r="CT160" s="84"/>
      <c r="CY160" s="84"/>
      <c r="DC160" s="84"/>
      <c r="DG160" s="84"/>
      <c r="DK160" s="84"/>
      <c r="DO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5"/>
      <c r="AM161" s="84"/>
      <c r="AN161" s="84"/>
      <c r="AP161" s="84"/>
      <c r="AU161" s="84"/>
      <c r="AY161" s="86"/>
      <c r="BE161" s="84"/>
      <c r="BJ161" s="84"/>
      <c r="BO161" s="84"/>
      <c r="BT161" s="84"/>
      <c r="BY161" s="84"/>
      <c r="CC161" s="84"/>
      <c r="CG161" s="84"/>
      <c r="CK161" s="85"/>
      <c r="CL161" s="85"/>
      <c r="CM161" s="84"/>
      <c r="CO161" s="84"/>
      <c r="CT161" s="84"/>
      <c r="CY161" s="84"/>
      <c r="DC161" s="84"/>
      <c r="DG161" s="84"/>
      <c r="DK161" s="84"/>
      <c r="DO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5"/>
      <c r="AM162" s="84"/>
      <c r="AN162" s="84"/>
      <c r="AP162" s="84"/>
      <c r="AU162" s="84"/>
      <c r="AY162" s="86"/>
      <c r="BE162" s="84"/>
      <c r="BJ162" s="84"/>
      <c r="BO162" s="84"/>
      <c r="BT162" s="84"/>
      <c r="BY162" s="84"/>
      <c r="CC162" s="84"/>
      <c r="CG162" s="84"/>
      <c r="CK162" s="85"/>
      <c r="CL162" s="85"/>
      <c r="CM162" s="84"/>
      <c r="CO162" s="84"/>
      <c r="CT162" s="84"/>
      <c r="CY162" s="84"/>
      <c r="DC162" s="84"/>
      <c r="DG162" s="84"/>
      <c r="DK162" s="84"/>
      <c r="DO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5"/>
      <c r="AM163" s="84"/>
      <c r="AN163" s="84"/>
      <c r="AP163" s="84"/>
      <c r="AU163" s="84"/>
      <c r="AY163" s="86"/>
      <c r="BE163" s="84"/>
      <c r="BJ163" s="84"/>
      <c r="BO163" s="84"/>
      <c r="BT163" s="84"/>
      <c r="BY163" s="84"/>
      <c r="CC163" s="84"/>
      <c r="CG163" s="84"/>
      <c r="CK163" s="85"/>
      <c r="CL163" s="85"/>
      <c r="CM163" s="84"/>
      <c r="CO163" s="84"/>
      <c r="CT163" s="84"/>
      <c r="CY163" s="84"/>
      <c r="DC163" s="84"/>
      <c r="DG163" s="84"/>
      <c r="DK163" s="84"/>
      <c r="DO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5"/>
      <c r="AM164" s="84"/>
      <c r="AN164" s="84"/>
      <c r="AP164" s="84"/>
      <c r="AU164" s="84"/>
      <c r="AY164" s="86"/>
      <c r="BE164" s="84"/>
      <c r="BJ164" s="84"/>
      <c r="BO164" s="84"/>
      <c r="BT164" s="84"/>
      <c r="BY164" s="84"/>
      <c r="CC164" s="84"/>
      <c r="CG164" s="84"/>
      <c r="CK164" s="85"/>
      <c r="CL164" s="85"/>
      <c r="CM164" s="84"/>
      <c r="CO164" s="84"/>
      <c r="CT164" s="84"/>
      <c r="CY164" s="84"/>
      <c r="DC164" s="84"/>
      <c r="DG164" s="84"/>
      <c r="DK164" s="84"/>
      <c r="DO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5"/>
      <c r="AM165" s="84"/>
      <c r="AN165" s="84"/>
      <c r="AP165" s="84"/>
      <c r="AU165" s="84"/>
      <c r="AY165" s="86"/>
      <c r="BE165" s="84"/>
      <c r="BJ165" s="84"/>
      <c r="BO165" s="84"/>
      <c r="BT165" s="84"/>
      <c r="BY165" s="84"/>
      <c r="CC165" s="84"/>
      <c r="CG165" s="84"/>
      <c r="CK165" s="85"/>
      <c r="CL165" s="85"/>
      <c r="CM165" s="84"/>
      <c r="CO165" s="84"/>
      <c r="CT165" s="84"/>
      <c r="CY165" s="84"/>
      <c r="DC165" s="84"/>
      <c r="DG165" s="84"/>
      <c r="DK165" s="84"/>
      <c r="DO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5"/>
      <c r="AM166" s="84"/>
      <c r="AN166" s="84"/>
      <c r="AP166" s="84"/>
      <c r="AU166" s="84"/>
      <c r="AY166" s="86"/>
      <c r="BE166" s="84"/>
      <c r="BJ166" s="84"/>
      <c r="BO166" s="84"/>
      <c r="BT166" s="84"/>
      <c r="BY166" s="84"/>
      <c r="CC166" s="84"/>
      <c r="CG166" s="84"/>
      <c r="CK166" s="85"/>
      <c r="CL166" s="85"/>
      <c r="CM166" s="84"/>
      <c r="CO166" s="84"/>
      <c r="CT166" s="84"/>
      <c r="CY166" s="84"/>
      <c r="DC166" s="84"/>
      <c r="DG166" s="84"/>
      <c r="DK166" s="84"/>
      <c r="DO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5"/>
      <c r="AM167" s="84"/>
      <c r="AN167" s="84"/>
      <c r="AP167" s="84"/>
      <c r="AU167" s="84"/>
      <c r="AY167" s="86"/>
      <c r="BE167" s="84"/>
      <c r="BJ167" s="84"/>
      <c r="BO167" s="84"/>
      <c r="BT167" s="84"/>
      <c r="BY167" s="84"/>
      <c r="CC167" s="84"/>
      <c r="CG167" s="84"/>
      <c r="CK167" s="85"/>
      <c r="CL167" s="85"/>
      <c r="CM167" s="84"/>
      <c r="CO167" s="84"/>
      <c r="CT167" s="84"/>
      <c r="CY167" s="84"/>
      <c r="DC167" s="84"/>
      <c r="DG167" s="84"/>
      <c r="DK167" s="84"/>
      <c r="DO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5"/>
      <c r="AM168" s="84"/>
      <c r="AN168" s="84"/>
      <c r="AP168" s="84"/>
      <c r="AU168" s="84"/>
      <c r="AY168" s="86"/>
      <c r="BE168" s="84"/>
      <c r="BJ168" s="84"/>
      <c r="BO168" s="84"/>
      <c r="BT168" s="84"/>
      <c r="BY168" s="84"/>
      <c r="CC168" s="84"/>
      <c r="CG168" s="84"/>
      <c r="CK168" s="85"/>
      <c r="CL168" s="85"/>
      <c r="CM168" s="84"/>
      <c r="CO168" s="84"/>
      <c r="CT168" s="84"/>
      <c r="CY168" s="84"/>
      <c r="DC168" s="84"/>
      <c r="DG168" s="84"/>
      <c r="DK168" s="84"/>
      <c r="DO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5"/>
      <c r="AM169" s="84"/>
      <c r="AN169" s="84"/>
      <c r="AP169" s="84"/>
      <c r="AU169" s="84"/>
      <c r="AY169" s="86"/>
      <c r="BE169" s="84"/>
      <c r="BJ169" s="84"/>
      <c r="BO169" s="84"/>
      <c r="BT169" s="84"/>
      <c r="BY169" s="84"/>
      <c r="CC169" s="84"/>
      <c r="CG169" s="84"/>
      <c r="CK169" s="85"/>
      <c r="CL169" s="85"/>
      <c r="CM169" s="84"/>
      <c r="CO169" s="84"/>
      <c r="CT169" s="84"/>
      <c r="CY169" s="84"/>
      <c r="DC169" s="84"/>
      <c r="DG169" s="84"/>
      <c r="DK169" s="84"/>
      <c r="DO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5"/>
      <c r="AM170" s="84"/>
      <c r="AN170" s="84"/>
      <c r="AP170" s="84"/>
      <c r="AU170" s="84"/>
      <c r="AY170" s="86"/>
      <c r="BE170" s="84"/>
      <c r="BJ170" s="84"/>
      <c r="BO170" s="84"/>
      <c r="BT170" s="84"/>
      <c r="BY170" s="84"/>
      <c r="CC170" s="84"/>
      <c r="CG170" s="84"/>
      <c r="CK170" s="85"/>
      <c r="CL170" s="85"/>
      <c r="CM170" s="84"/>
      <c r="CO170" s="84"/>
      <c r="CT170" s="84"/>
      <c r="CY170" s="84"/>
      <c r="DC170" s="84"/>
      <c r="DG170" s="84"/>
      <c r="DK170" s="84"/>
      <c r="DO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5"/>
      <c r="AM171" s="84"/>
      <c r="AN171" s="84"/>
      <c r="AP171" s="84"/>
      <c r="AU171" s="84"/>
      <c r="AY171" s="86"/>
      <c r="BE171" s="84"/>
      <c r="BJ171" s="84"/>
      <c r="BO171" s="84"/>
      <c r="BT171" s="84"/>
      <c r="BY171" s="84"/>
      <c r="CC171" s="84"/>
      <c r="CG171" s="84"/>
      <c r="CK171" s="85"/>
      <c r="CL171" s="85"/>
      <c r="CM171" s="84"/>
      <c r="CO171" s="84"/>
      <c r="CT171" s="84"/>
      <c r="CY171" s="84"/>
      <c r="DC171" s="84"/>
      <c r="DG171" s="84"/>
      <c r="DK171" s="84"/>
      <c r="DO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5"/>
      <c r="AM172" s="84"/>
      <c r="AN172" s="84"/>
      <c r="AP172" s="84"/>
      <c r="AU172" s="84"/>
      <c r="AY172" s="86"/>
      <c r="BE172" s="84"/>
      <c r="BJ172" s="84"/>
      <c r="BO172" s="84"/>
      <c r="BT172" s="84"/>
      <c r="BY172" s="84"/>
      <c r="CC172" s="84"/>
      <c r="CG172" s="84"/>
      <c r="CK172" s="85"/>
      <c r="CL172" s="85"/>
      <c r="CM172" s="84"/>
      <c r="CO172" s="84"/>
      <c r="CT172" s="84"/>
      <c r="CY172" s="84"/>
      <c r="DC172" s="84"/>
      <c r="DG172" s="84"/>
      <c r="DK172" s="84"/>
      <c r="DO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5"/>
      <c r="AM173" s="84"/>
      <c r="AN173" s="84"/>
      <c r="AP173" s="84"/>
      <c r="AU173" s="84"/>
      <c r="AY173" s="86"/>
      <c r="BE173" s="84"/>
      <c r="BJ173" s="84"/>
      <c r="BO173" s="84"/>
      <c r="BT173" s="84"/>
      <c r="BY173" s="84"/>
      <c r="CC173" s="84"/>
      <c r="CG173" s="84"/>
      <c r="CK173" s="85"/>
      <c r="CL173" s="85"/>
      <c r="CM173" s="84"/>
      <c r="CO173" s="84"/>
      <c r="CT173" s="84"/>
      <c r="CY173" s="84"/>
      <c r="DC173" s="84"/>
      <c r="DG173" s="84"/>
      <c r="DK173" s="84"/>
      <c r="DO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5"/>
      <c r="AM174" s="84"/>
      <c r="AN174" s="84"/>
      <c r="AP174" s="84"/>
      <c r="AU174" s="84"/>
      <c r="AY174" s="86"/>
      <c r="BE174" s="84"/>
      <c r="BJ174" s="84"/>
      <c r="BO174" s="84"/>
      <c r="BT174" s="84"/>
      <c r="BY174" s="84"/>
      <c r="CC174" s="84"/>
      <c r="CG174" s="84"/>
      <c r="CK174" s="85"/>
      <c r="CL174" s="85"/>
      <c r="CM174" s="84"/>
      <c r="CO174" s="84"/>
      <c r="CT174" s="84"/>
      <c r="CY174" s="84"/>
      <c r="DC174" s="84"/>
      <c r="DG174" s="84"/>
      <c r="DK174" s="84"/>
      <c r="DO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5"/>
      <c r="AM175" s="84"/>
      <c r="AN175" s="84"/>
      <c r="AP175" s="84"/>
      <c r="AU175" s="84"/>
      <c r="AY175" s="86"/>
      <c r="BE175" s="84"/>
      <c r="BJ175" s="84"/>
      <c r="BO175" s="84"/>
      <c r="BT175" s="84"/>
      <c r="BY175" s="84"/>
      <c r="CC175" s="84"/>
      <c r="CG175" s="84"/>
      <c r="CK175" s="85"/>
      <c r="CL175" s="85"/>
      <c r="CM175" s="84"/>
      <c r="CO175" s="84"/>
      <c r="CT175" s="84"/>
      <c r="CY175" s="84"/>
      <c r="DC175" s="84"/>
      <c r="DG175" s="84"/>
      <c r="DK175" s="84"/>
      <c r="DO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5"/>
      <c r="AM176" s="84"/>
      <c r="AN176" s="84"/>
      <c r="AP176" s="84"/>
      <c r="AU176" s="84"/>
      <c r="AY176" s="86"/>
      <c r="BE176" s="84"/>
      <c r="BJ176" s="84"/>
      <c r="BO176" s="84"/>
      <c r="BT176" s="84"/>
      <c r="BY176" s="84"/>
      <c r="CC176" s="84"/>
      <c r="CG176" s="84"/>
      <c r="CK176" s="85"/>
      <c r="CL176" s="85"/>
      <c r="CM176" s="84"/>
      <c r="CO176" s="84"/>
      <c r="CT176" s="84"/>
      <c r="CY176" s="84"/>
      <c r="DC176" s="84"/>
      <c r="DG176" s="84"/>
      <c r="DK176" s="84"/>
      <c r="DO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5"/>
      <c r="AM177" s="84"/>
      <c r="AN177" s="84"/>
      <c r="AP177" s="84"/>
      <c r="AU177" s="84"/>
      <c r="AY177" s="86"/>
      <c r="BE177" s="84"/>
      <c r="BJ177" s="84"/>
      <c r="BO177" s="84"/>
      <c r="BT177" s="84"/>
      <c r="BY177" s="84"/>
      <c r="CC177" s="84"/>
      <c r="CG177" s="84"/>
      <c r="CK177" s="85"/>
      <c r="CL177" s="85"/>
      <c r="CM177" s="84"/>
      <c r="CO177" s="84"/>
      <c r="CT177" s="84"/>
      <c r="CY177" s="84"/>
      <c r="DC177" s="84"/>
      <c r="DG177" s="84"/>
      <c r="DK177" s="84"/>
      <c r="DO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5"/>
      <c r="AM178" s="84"/>
      <c r="AN178" s="84"/>
      <c r="AP178" s="84"/>
      <c r="AU178" s="84"/>
      <c r="AY178" s="86"/>
      <c r="BE178" s="84"/>
      <c r="BJ178" s="84"/>
      <c r="BO178" s="84"/>
      <c r="BT178" s="84"/>
      <c r="BY178" s="84"/>
      <c r="CC178" s="84"/>
      <c r="CG178" s="84"/>
      <c r="CK178" s="85"/>
      <c r="CL178" s="85"/>
      <c r="CM178" s="84"/>
      <c r="CO178" s="84"/>
      <c r="CT178" s="84"/>
      <c r="CY178" s="84"/>
      <c r="DC178" s="84"/>
      <c r="DG178" s="84"/>
      <c r="DK178" s="84"/>
      <c r="DO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5"/>
      <c r="AM179" s="84"/>
      <c r="AN179" s="84"/>
      <c r="AP179" s="84"/>
      <c r="AU179" s="84"/>
      <c r="AY179" s="86"/>
      <c r="BE179" s="84"/>
      <c r="BJ179" s="84"/>
      <c r="BO179" s="84"/>
      <c r="BT179" s="84"/>
      <c r="BY179" s="84"/>
      <c r="CC179" s="84"/>
      <c r="CG179" s="84"/>
      <c r="CK179" s="85"/>
      <c r="CL179" s="85"/>
      <c r="CM179" s="84"/>
      <c r="CO179" s="84"/>
      <c r="CT179" s="84"/>
      <c r="CY179" s="84"/>
      <c r="DC179" s="84"/>
      <c r="DG179" s="84"/>
      <c r="DK179" s="84"/>
      <c r="DO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5"/>
      <c r="AM180" s="84"/>
      <c r="AN180" s="84"/>
      <c r="AP180" s="84"/>
      <c r="AU180" s="84"/>
      <c r="AY180" s="86"/>
      <c r="BE180" s="84"/>
      <c r="BJ180" s="84"/>
      <c r="BO180" s="84"/>
      <c r="BT180" s="84"/>
      <c r="BY180" s="84"/>
      <c r="CC180" s="84"/>
      <c r="CG180" s="84"/>
      <c r="CK180" s="85"/>
      <c r="CL180" s="85"/>
      <c r="CM180" s="84"/>
      <c r="CO180" s="84"/>
      <c r="CT180" s="84"/>
      <c r="CY180" s="84"/>
      <c r="DC180" s="84"/>
      <c r="DG180" s="84"/>
      <c r="DK180" s="84"/>
      <c r="DO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5"/>
      <c r="AM181" s="84"/>
      <c r="AN181" s="84"/>
      <c r="AP181" s="84"/>
      <c r="AU181" s="84"/>
      <c r="AY181" s="86"/>
      <c r="BE181" s="84"/>
      <c r="BJ181" s="84"/>
      <c r="BO181" s="84"/>
      <c r="BT181" s="84"/>
      <c r="BY181" s="84"/>
      <c r="CC181" s="84"/>
      <c r="CG181" s="84"/>
      <c r="CK181" s="85"/>
      <c r="CL181" s="85"/>
      <c r="CM181" s="84"/>
      <c r="CO181" s="84"/>
      <c r="CT181" s="84"/>
      <c r="CY181" s="84"/>
      <c r="DC181" s="84"/>
      <c r="DG181" s="84"/>
      <c r="DK181" s="84"/>
      <c r="DO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5"/>
      <c r="AM182" s="84"/>
      <c r="AN182" s="84"/>
      <c r="AP182" s="84"/>
      <c r="AU182" s="84"/>
      <c r="AY182" s="86"/>
      <c r="BE182" s="84"/>
      <c r="BJ182" s="84"/>
      <c r="BO182" s="84"/>
      <c r="BT182" s="84"/>
      <c r="BY182" s="84"/>
      <c r="CC182" s="84"/>
      <c r="CG182" s="84"/>
      <c r="CK182" s="85"/>
      <c r="CL182" s="85"/>
      <c r="CM182" s="84"/>
      <c r="CO182" s="84"/>
      <c r="CT182" s="84"/>
      <c r="CY182" s="84"/>
      <c r="DC182" s="84"/>
      <c r="DG182" s="84"/>
      <c r="DK182" s="84"/>
      <c r="DO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5"/>
      <c r="AM183" s="84"/>
      <c r="AN183" s="84"/>
      <c r="AP183" s="84"/>
      <c r="AU183" s="84"/>
      <c r="AY183" s="86"/>
      <c r="BE183" s="84"/>
      <c r="BJ183" s="84"/>
      <c r="BO183" s="84"/>
      <c r="BT183" s="84"/>
      <c r="BY183" s="84"/>
      <c r="CC183" s="84"/>
      <c r="CG183" s="84"/>
      <c r="CK183" s="85"/>
      <c r="CL183" s="85"/>
      <c r="CM183" s="84"/>
      <c r="CO183" s="84"/>
      <c r="CT183" s="84"/>
      <c r="CY183" s="84"/>
      <c r="DC183" s="84"/>
      <c r="DG183" s="84"/>
      <c r="DK183" s="84"/>
      <c r="DO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5"/>
      <c r="AM184" s="84"/>
      <c r="AN184" s="84"/>
      <c r="AP184" s="84"/>
      <c r="AU184" s="84"/>
      <c r="AY184" s="86"/>
      <c r="BE184" s="84"/>
      <c r="BJ184" s="84"/>
      <c r="BO184" s="84"/>
      <c r="BT184" s="84"/>
      <c r="BY184" s="84"/>
      <c r="CC184" s="84"/>
      <c r="CG184" s="84"/>
      <c r="CK184" s="85"/>
      <c r="CL184" s="85"/>
      <c r="CM184" s="84"/>
      <c r="CO184" s="84"/>
      <c r="CT184" s="84"/>
      <c r="CY184" s="84"/>
      <c r="DC184" s="84"/>
      <c r="DG184" s="84"/>
      <c r="DK184" s="84"/>
      <c r="DO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5"/>
      <c r="AM185" s="84"/>
      <c r="AN185" s="84"/>
      <c r="AP185" s="84"/>
      <c r="AU185" s="84"/>
      <c r="AY185" s="86"/>
      <c r="BE185" s="84"/>
      <c r="BJ185" s="84"/>
      <c r="BO185" s="84"/>
      <c r="BT185" s="84"/>
      <c r="BY185" s="84"/>
      <c r="CC185" s="84"/>
      <c r="CG185" s="84"/>
      <c r="CK185" s="85"/>
      <c r="CL185" s="85"/>
      <c r="CM185" s="84"/>
      <c r="CO185" s="84"/>
      <c r="CT185" s="84"/>
      <c r="CY185" s="84"/>
      <c r="DC185" s="84"/>
      <c r="DG185" s="84"/>
      <c r="DK185" s="84"/>
      <c r="DO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5"/>
      <c r="AM186" s="84"/>
      <c r="AN186" s="84"/>
      <c r="AP186" s="84"/>
      <c r="AU186" s="84"/>
      <c r="AY186" s="86"/>
      <c r="BE186" s="84"/>
      <c r="BJ186" s="84"/>
      <c r="BO186" s="84"/>
      <c r="BT186" s="84"/>
      <c r="BY186" s="84"/>
      <c r="CC186" s="84"/>
      <c r="CG186" s="84"/>
      <c r="CK186" s="85"/>
      <c r="CL186" s="85"/>
      <c r="CM186" s="84"/>
      <c r="CO186" s="84"/>
      <c r="CT186" s="84"/>
      <c r="CY186" s="84"/>
      <c r="DC186" s="84"/>
      <c r="DG186" s="84"/>
      <c r="DK186" s="84"/>
      <c r="DO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5"/>
      <c r="AM187" s="84"/>
      <c r="AN187" s="84"/>
      <c r="AP187" s="84"/>
      <c r="AU187" s="84"/>
      <c r="AY187" s="86"/>
      <c r="BE187" s="84"/>
      <c r="BJ187" s="84"/>
      <c r="BO187" s="84"/>
      <c r="BT187" s="84"/>
      <c r="BY187" s="84"/>
      <c r="CC187" s="84"/>
      <c r="CG187" s="84"/>
      <c r="CK187" s="85"/>
      <c r="CL187" s="85"/>
      <c r="CM187" s="84"/>
      <c r="CO187" s="84"/>
      <c r="CT187" s="84"/>
      <c r="CY187" s="84"/>
      <c r="DC187" s="84"/>
      <c r="DG187" s="84"/>
      <c r="DK187" s="84"/>
      <c r="DO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5"/>
      <c r="AM188" s="84"/>
      <c r="AN188" s="84"/>
      <c r="AP188" s="84"/>
      <c r="AU188" s="84"/>
      <c r="AY188" s="86"/>
      <c r="BE188" s="84"/>
      <c r="BJ188" s="84"/>
      <c r="BO188" s="84"/>
      <c r="BT188" s="84"/>
      <c r="BY188" s="84"/>
      <c r="CC188" s="84"/>
      <c r="CG188" s="84"/>
      <c r="CK188" s="85"/>
      <c r="CL188" s="85"/>
      <c r="CM188" s="84"/>
      <c r="CO188" s="84"/>
      <c r="CT188" s="84"/>
      <c r="CY188" s="84"/>
      <c r="DC188" s="84"/>
      <c r="DG188" s="84"/>
      <c r="DK188" s="84"/>
      <c r="DO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5"/>
      <c r="AM189" s="84"/>
      <c r="AN189" s="84"/>
      <c r="AP189" s="84"/>
      <c r="AU189" s="84"/>
      <c r="AY189" s="86"/>
      <c r="BE189" s="84"/>
      <c r="BJ189" s="84"/>
      <c r="BO189" s="84"/>
      <c r="BT189" s="84"/>
      <c r="BY189" s="84"/>
      <c r="CC189" s="84"/>
      <c r="CG189" s="84"/>
      <c r="CK189" s="85"/>
      <c r="CL189" s="85"/>
      <c r="CM189" s="84"/>
      <c r="CO189" s="84"/>
      <c r="CT189" s="84"/>
      <c r="CY189" s="84"/>
      <c r="DC189" s="84"/>
      <c r="DG189" s="84"/>
      <c r="DK189" s="84"/>
      <c r="DO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5"/>
      <c r="AM190" s="84"/>
      <c r="AN190" s="84"/>
      <c r="AP190" s="84"/>
      <c r="AU190" s="84"/>
      <c r="AY190" s="86"/>
      <c r="BE190" s="84"/>
      <c r="BJ190" s="84"/>
      <c r="BO190" s="84"/>
      <c r="BT190" s="84"/>
      <c r="BY190" s="84"/>
      <c r="CC190" s="84"/>
      <c r="CG190" s="84"/>
      <c r="CK190" s="85"/>
      <c r="CL190" s="85"/>
      <c r="CM190" s="84"/>
      <c r="CO190" s="84"/>
      <c r="CT190" s="84"/>
      <c r="CY190" s="84"/>
      <c r="DC190" s="84"/>
      <c r="DG190" s="84"/>
      <c r="DK190" s="84"/>
      <c r="DO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5"/>
      <c r="AM191" s="84"/>
      <c r="AN191" s="84"/>
      <c r="AP191" s="84"/>
      <c r="AU191" s="84"/>
      <c r="AY191" s="86"/>
      <c r="BE191" s="84"/>
      <c r="BJ191" s="84"/>
      <c r="BO191" s="84"/>
      <c r="BT191" s="84"/>
      <c r="BY191" s="84"/>
      <c r="CC191" s="84"/>
      <c r="CG191" s="84"/>
      <c r="CK191" s="85"/>
      <c r="CL191" s="85"/>
      <c r="CM191" s="84"/>
      <c r="CO191" s="84"/>
      <c r="CT191" s="84"/>
      <c r="CY191" s="84"/>
      <c r="DC191" s="84"/>
      <c r="DG191" s="84"/>
      <c r="DK191" s="84"/>
      <c r="DO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5"/>
      <c r="AM192" s="84"/>
      <c r="AN192" s="84"/>
      <c r="AP192" s="84"/>
      <c r="AU192" s="84"/>
      <c r="AY192" s="86"/>
      <c r="BE192" s="84"/>
      <c r="BJ192" s="84"/>
      <c r="BO192" s="84"/>
      <c r="BT192" s="84"/>
      <c r="BY192" s="84"/>
      <c r="CC192" s="84"/>
      <c r="CG192" s="84"/>
      <c r="CK192" s="85"/>
      <c r="CL192" s="85"/>
      <c r="CM192" s="84"/>
      <c r="CO192" s="84"/>
      <c r="CT192" s="84"/>
      <c r="CY192" s="84"/>
      <c r="DC192" s="84"/>
      <c r="DG192" s="84"/>
      <c r="DK192" s="84"/>
      <c r="DO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5"/>
      <c r="AM193" s="84"/>
      <c r="AN193" s="84"/>
      <c r="AP193" s="84"/>
      <c r="AU193" s="84"/>
      <c r="AY193" s="86"/>
      <c r="BE193" s="84"/>
      <c r="BJ193" s="84"/>
      <c r="BO193" s="84"/>
      <c r="BT193" s="84"/>
      <c r="BY193" s="84"/>
      <c r="CC193" s="84"/>
      <c r="CG193" s="84"/>
      <c r="CK193" s="85"/>
      <c r="CL193" s="85"/>
      <c r="CM193" s="84"/>
      <c r="CO193" s="84"/>
      <c r="CT193" s="84"/>
      <c r="CY193" s="84"/>
      <c r="DC193" s="84"/>
      <c r="DG193" s="84"/>
      <c r="DK193" s="84"/>
      <c r="DO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5"/>
      <c r="AM194" s="84"/>
      <c r="AN194" s="84"/>
      <c r="AP194" s="84"/>
      <c r="AU194" s="84"/>
      <c r="AY194" s="86"/>
      <c r="BE194" s="84"/>
      <c r="BJ194" s="84"/>
      <c r="BO194" s="84"/>
      <c r="BT194" s="84"/>
      <c r="BY194" s="84"/>
      <c r="CC194" s="84"/>
      <c r="CG194" s="84"/>
      <c r="CK194" s="85"/>
      <c r="CL194" s="85"/>
      <c r="CM194" s="84"/>
      <c r="CO194" s="84"/>
      <c r="CT194" s="84"/>
      <c r="CY194" s="84"/>
      <c r="DC194" s="84"/>
      <c r="DG194" s="84"/>
      <c r="DK194" s="84"/>
      <c r="DO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5"/>
      <c r="AM195" s="84"/>
      <c r="AN195" s="84"/>
      <c r="AP195" s="84"/>
      <c r="AU195" s="84"/>
      <c r="AY195" s="86"/>
      <c r="BE195" s="84"/>
      <c r="BJ195" s="84"/>
      <c r="BO195" s="84"/>
      <c r="BT195" s="84"/>
      <c r="BY195" s="84"/>
      <c r="CC195" s="84"/>
      <c r="CG195" s="84"/>
      <c r="CK195" s="85"/>
      <c r="CL195" s="85"/>
      <c r="CM195" s="84"/>
      <c r="CO195" s="84"/>
      <c r="CT195" s="84"/>
      <c r="CY195" s="84"/>
      <c r="DC195" s="84"/>
      <c r="DG195" s="84"/>
      <c r="DK195" s="84"/>
      <c r="DO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5"/>
      <c r="AM196" s="84"/>
      <c r="AN196" s="84"/>
      <c r="AP196" s="84"/>
      <c r="AU196" s="84"/>
      <c r="AY196" s="86"/>
      <c r="BE196" s="84"/>
      <c r="BJ196" s="84"/>
      <c r="BO196" s="84"/>
      <c r="BT196" s="84"/>
      <c r="BY196" s="84"/>
      <c r="CC196" s="84"/>
      <c r="CG196" s="84"/>
      <c r="CK196" s="85"/>
      <c r="CL196" s="85"/>
      <c r="CM196" s="84"/>
      <c r="CO196" s="84"/>
      <c r="CT196" s="84"/>
      <c r="CY196" s="84"/>
      <c r="DC196" s="84"/>
      <c r="DG196" s="84"/>
      <c r="DK196" s="84"/>
      <c r="DO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5"/>
      <c r="AM197" s="84"/>
      <c r="AN197" s="84"/>
      <c r="AP197" s="84"/>
      <c r="AU197" s="84"/>
      <c r="AY197" s="86"/>
      <c r="BE197" s="84"/>
      <c r="BJ197" s="84"/>
      <c r="BO197" s="84"/>
      <c r="BT197" s="84"/>
      <c r="BY197" s="84"/>
      <c r="CC197" s="84"/>
      <c r="CG197" s="84"/>
      <c r="CK197" s="85"/>
      <c r="CL197" s="85"/>
      <c r="CM197" s="84"/>
      <c r="CO197" s="84"/>
      <c r="CT197" s="84"/>
      <c r="CY197" s="84"/>
      <c r="DC197" s="84"/>
      <c r="DG197" s="84"/>
      <c r="DK197" s="84"/>
      <c r="DO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5"/>
      <c r="AM198" s="84"/>
      <c r="AN198" s="84"/>
      <c r="AP198" s="84"/>
      <c r="AU198" s="84"/>
      <c r="AY198" s="86"/>
      <c r="BE198" s="84"/>
      <c r="BJ198" s="84"/>
      <c r="BO198" s="84"/>
      <c r="BT198" s="84"/>
      <c r="BY198" s="84"/>
      <c r="CC198" s="84"/>
      <c r="CG198" s="84"/>
      <c r="CK198" s="85"/>
      <c r="CL198" s="85"/>
      <c r="CM198" s="84"/>
      <c r="CO198" s="84"/>
      <c r="CT198" s="84"/>
      <c r="CY198" s="84"/>
      <c r="DC198" s="84"/>
      <c r="DG198" s="84"/>
      <c r="DK198" s="84"/>
      <c r="DO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5"/>
      <c r="AM199" s="84"/>
      <c r="AN199" s="84"/>
      <c r="AP199" s="84"/>
      <c r="AU199" s="84"/>
      <c r="AY199" s="86"/>
      <c r="BE199" s="84"/>
      <c r="BJ199" s="84"/>
      <c r="BO199" s="84"/>
      <c r="BT199" s="84"/>
      <c r="BY199" s="84"/>
      <c r="CC199" s="84"/>
      <c r="CG199" s="84"/>
      <c r="CK199" s="85"/>
      <c r="CL199" s="85"/>
      <c r="CM199" s="84"/>
      <c r="CO199" s="84"/>
      <c r="CT199" s="84"/>
      <c r="CY199" s="84"/>
      <c r="DC199" s="84"/>
      <c r="DG199" s="84"/>
      <c r="DK199" s="84"/>
      <c r="DO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5"/>
      <c r="AM200" s="84"/>
      <c r="AN200" s="84"/>
      <c r="AP200" s="84"/>
      <c r="AU200" s="84"/>
      <c r="AY200" s="86"/>
      <c r="BE200" s="84"/>
      <c r="BJ200" s="84"/>
      <c r="BO200" s="84"/>
      <c r="BT200" s="84"/>
      <c r="BY200" s="84"/>
      <c r="CC200" s="84"/>
      <c r="CG200" s="84"/>
      <c r="CK200" s="85"/>
      <c r="CL200" s="85"/>
      <c r="CM200" s="84"/>
      <c r="CO200" s="84"/>
      <c r="CT200" s="84"/>
      <c r="CY200" s="84"/>
      <c r="DC200" s="84"/>
      <c r="DG200" s="84"/>
      <c r="DK200" s="84"/>
      <c r="DO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5"/>
      <c r="AM201" s="84"/>
      <c r="AN201" s="84"/>
      <c r="AP201" s="84"/>
      <c r="AU201" s="84"/>
      <c r="AY201" s="86"/>
      <c r="BE201" s="84"/>
      <c r="BJ201" s="84"/>
      <c r="BO201" s="84"/>
      <c r="BT201" s="84"/>
      <c r="BY201" s="84"/>
      <c r="CC201" s="84"/>
      <c r="CG201" s="84"/>
      <c r="CK201" s="85"/>
      <c r="CL201" s="85"/>
      <c r="CM201" s="84"/>
      <c r="CO201" s="84"/>
      <c r="CT201" s="84"/>
      <c r="CY201" s="84"/>
      <c r="DC201" s="84"/>
      <c r="DG201" s="84"/>
      <c r="DK201" s="84"/>
      <c r="DO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5"/>
      <c r="AM202" s="84"/>
      <c r="AN202" s="84"/>
      <c r="AP202" s="84"/>
      <c r="AU202" s="84"/>
      <c r="AY202" s="86"/>
      <c r="BE202" s="84"/>
      <c r="BJ202" s="84"/>
      <c r="BO202" s="84"/>
      <c r="BT202" s="84"/>
      <c r="BY202" s="84"/>
      <c r="CC202" s="84"/>
      <c r="CG202" s="84"/>
      <c r="CK202" s="85"/>
      <c r="CL202" s="85"/>
      <c r="CM202" s="84"/>
      <c r="CO202" s="84"/>
      <c r="CT202" s="84"/>
      <c r="CY202" s="84"/>
      <c r="DC202" s="84"/>
      <c r="DG202" s="84"/>
      <c r="DK202" s="84"/>
      <c r="DO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5"/>
      <c r="AM203" s="84"/>
      <c r="AN203" s="84"/>
      <c r="AP203" s="84"/>
      <c r="AU203" s="84"/>
      <c r="AY203" s="86"/>
      <c r="BE203" s="84"/>
      <c r="BJ203" s="84"/>
      <c r="BO203" s="84"/>
      <c r="BT203" s="84"/>
      <c r="BY203" s="84"/>
      <c r="CC203" s="84"/>
      <c r="CG203" s="84"/>
      <c r="CK203" s="85"/>
      <c r="CL203" s="85"/>
      <c r="CM203" s="84"/>
      <c r="CO203" s="84"/>
      <c r="CT203" s="84"/>
      <c r="CY203" s="84"/>
      <c r="DC203" s="84"/>
      <c r="DG203" s="84"/>
      <c r="DK203" s="84"/>
      <c r="DO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5"/>
      <c r="AM204" s="84"/>
      <c r="AN204" s="84"/>
      <c r="AP204" s="84"/>
      <c r="AU204" s="84"/>
      <c r="AY204" s="86"/>
      <c r="BE204" s="84"/>
      <c r="BJ204" s="84"/>
      <c r="BO204" s="84"/>
      <c r="BT204" s="84"/>
      <c r="BY204" s="84"/>
      <c r="CC204" s="84"/>
      <c r="CG204" s="84"/>
      <c r="CK204" s="85"/>
      <c r="CL204" s="85"/>
      <c r="CM204" s="84"/>
      <c r="CO204" s="84"/>
      <c r="CT204" s="84"/>
      <c r="CY204" s="84"/>
      <c r="DC204" s="84"/>
      <c r="DG204" s="84"/>
      <c r="DK204" s="84"/>
      <c r="DO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5"/>
      <c r="AM205" s="84"/>
      <c r="AN205" s="84"/>
      <c r="AP205" s="84"/>
      <c r="AU205" s="84"/>
      <c r="AY205" s="86"/>
      <c r="BE205" s="84"/>
      <c r="BJ205" s="84"/>
      <c r="BO205" s="84"/>
      <c r="BT205" s="84"/>
      <c r="BY205" s="84"/>
      <c r="CC205" s="84"/>
      <c r="CG205" s="84"/>
      <c r="CK205" s="85"/>
      <c r="CL205" s="85"/>
      <c r="CM205" s="84"/>
      <c r="CO205" s="84"/>
      <c r="CT205" s="84"/>
      <c r="CY205" s="84"/>
      <c r="DC205" s="84"/>
      <c r="DG205" s="84"/>
      <c r="DK205" s="84"/>
      <c r="DO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5"/>
      <c r="AM206" s="84"/>
      <c r="AN206" s="84"/>
      <c r="AP206" s="84"/>
      <c r="AU206" s="84"/>
      <c r="AY206" s="86"/>
      <c r="BE206" s="84"/>
      <c r="BJ206" s="84"/>
      <c r="BO206" s="84"/>
      <c r="BT206" s="84"/>
      <c r="BY206" s="84"/>
      <c r="CC206" s="84"/>
      <c r="CG206" s="84"/>
      <c r="CK206" s="85"/>
      <c r="CL206" s="85"/>
      <c r="CM206" s="84"/>
      <c r="CO206" s="84"/>
      <c r="CT206" s="84"/>
      <c r="CY206" s="84"/>
      <c r="DC206" s="84"/>
      <c r="DG206" s="84"/>
      <c r="DK206" s="84"/>
      <c r="DO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5"/>
      <c r="AM207" s="84"/>
      <c r="AN207" s="84"/>
      <c r="AP207" s="84"/>
      <c r="AU207" s="84"/>
      <c r="AY207" s="86"/>
      <c r="BE207" s="84"/>
      <c r="BJ207" s="84"/>
      <c r="BO207" s="84"/>
      <c r="BT207" s="84"/>
      <c r="BY207" s="84"/>
      <c r="CC207" s="84"/>
      <c r="CG207" s="84"/>
      <c r="CK207" s="85"/>
      <c r="CL207" s="85"/>
      <c r="CM207" s="84"/>
      <c r="CO207" s="84"/>
      <c r="CT207" s="84"/>
      <c r="CY207" s="84"/>
      <c r="DC207" s="84"/>
      <c r="DG207" s="84"/>
      <c r="DK207" s="84"/>
      <c r="DO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5"/>
      <c r="AM208" s="84"/>
      <c r="AN208" s="84"/>
      <c r="AP208" s="84"/>
      <c r="AU208" s="84"/>
      <c r="AY208" s="86"/>
      <c r="BE208" s="84"/>
      <c r="BJ208" s="84"/>
      <c r="BO208" s="84"/>
      <c r="BT208" s="84"/>
      <c r="BY208" s="84"/>
      <c r="CC208" s="84"/>
      <c r="CG208" s="84"/>
      <c r="CK208" s="85"/>
      <c r="CL208" s="85"/>
      <c r="CM208" s="84"/>
      <c r="CO208" s="84"/>
      <c r="CT208" s="84"/>
      <c r="CY208" s="84"/>
      <c r="DC208" s="84"/>
      <c r="DG208" s="84"/>
      <c r="DK208" s="84"/>
      <c r="DO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5"/>
      <c r="AM209" s="84"/>
      <c r="AN209" s="84"/>
      <c r="AP209" s="84"/>
      <c r="AU209" s="84"/>
      <c r="AY209" s="86"/>
      <c r="BE209" s="84"/>
      <c r="BJ209" s="84"/>
      <c r="BO209" s="84"/>
      <c r="BT209" s="84"/>
      <c r="BY209" s="84"/>
      <c r="CC209" s="84"/>
      <c r="CG209" s="84"/>
      <c r="CK209" s="85"/>
      <c r="CL209" s="85"/>
      <c r="CM209" s="84"/>
      <c r="CO209" s="84"/>
      <c r="CT209" s="84"/>
      <c r="CY209" s="84"/>
      <c r="DC209" s="84"/>
      <c r="DG209" s="84"/>
      <c r="DK209" s="84"/>
      <c r="DO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5"/>
      <c r="AM210" s="84"/>
      <c r="AN210" s="84"/>
      <c r="AP210" s="84"/>
      <c r="AU210" s="84"/>
      <c r="AY210" s="86"/>
      <c r="BE210" s="84"/>
      <c r="BJ210" s="84"/>
      <c r="BO210" s="84"/>
      <c r="BT210" s="84"/>
      <c r="BY210" s="84"/>
      <c r="CC210" s="84"/>
      <c r="CG210" s="84"/>
      <c r="CK210" s="85"/>
      <c r="CL210" s="85"/>
      <c r="CM210" s="84"/>
      <c r="CO210" s="84"/>
      <c r="CT210" s="84"/>
      <c r="CY210" s="84"/>
      <c r="DC210" s="84"/>
      <c r="DG210" s="84"/>
      <c r="DK210" s="84"/>
      <c r="DO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5"/>
      <c r="AM211" s="84"/>
      <c r="AN211" s="84"/>
      <c r="AP211" s="84"/>
      <c r="AU211" s="84"/>
      <c r="AY211" s="86"/>
      <c r="BE211" s="84"/>
      <c r="BJ211" s="84"/>
      <c r="BO211" s="84"/>
      <c r="BT211" s="84"/>
      <c r="BY211" s="84"/>
      <c r="CC211" s="84"/>
      <c r="CG211" s="84"/>
      <c r="CK211" s="85"/>
      <c r="CL211" s="85"/>
      <c r="CM211" s="84"/>
      <c r="CO211" s="84"/>
      <c r="CT211" s="84"/>
      <c r="CY211" s="84"/>
      <c r="DC211" s="84"/>
      <c r="DG211" s="84"/>
      <c r="DK211" s="84"/>
      <c r="DO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5"/>
      <c r="AM212" s="84"/>
      <c r="AN212" s="84"/>
      <c r="AP212" s="84"/>
      <c r="AU212" s="84"/>
      <c r="AY212" s="86"/>
      <c r="BE212" s="84"/>
      <c r="BJ212" s="84"/>
      <c r="BO212" s="84"/>
      <c r="BT212" s="84"/>
      <c r="BY212" s="84"/>
      <c r="CC212" s="84"/>
      <c r="CG212" s="84"/>
      <c r="CK212" s="85"/>
      <c r="CL212" s="85"/>
      <c r="CM212" s="84"/>
      <c r="CO212" s="84"/>
      <c r="CT212" s="84"/>
      <c r="CY212" s="84"/>
      <c r="DC212" s="84"/>
      <c r="DG212" s="84"/>
      <c r="DK212" s="84"/>
      <c r="DO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5"/>
      <c r="AM213" s="84"/>
      <c r="AN213" s="84"/>
      <c r="AP213" s="84"/>
      <c r="AU213" s="84"/>
      <c r="AY213" s="86"/>
      <c r="BE213" s="84"/>
      <c r="BJ213" s="84"/>
      <c r="BO213" s="84"/>
      <c r="BT213" s="84"/>
      <c r="BY213" s="84"/>
      <c r="CC213" s="84"/>
      <c r="CG213" s="84"/>
      <c r="CK213" s="85"/>
      <c r="CL213" s="85"/>
      <c r="CM213" s="84"/>
      <c r="CO213" s="84"/>
      <c r="CT213" s="84"/>
      <c r="CY213" s="84"/>
      <c r="DC213" s="84"/>
      <c r="DG213" s="84"/>
      <c r="DK213" s="84"/>
      <c r="DO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5"/>
      <c r="AM214" s="84"/>
      <c r="AN214" s="84"/>
      <c r="AP214" s="84"/>
      <c r="AU214" s="84"/>
      <c r="AY214" s="86"/>
      <c r="BE214" s="84"/>
      <c r="BJ214" s="84"/>
      <c r="BO214" s="84"/>
      <c r="BT214" s="84"/>
      <c r="BY214" s="84"/>
      <c r="CC214" s="84"/>
      <c r="CG214" s="84"/>
      <c r="CK214" s="85"/>
      <c r="CL214" s="85"/>
      <c r="CM214" s="84"/>
      <c r="CO214" s="84"/>
      <c r="CT214" s="84"/>
      <c r="CY214" s="84"/>
      <c r="DC214" s="84"/>
      <c r="DG214" s="84"/>
      <c r="DK214" s="84"/>
      <c r="DO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5"/>
      <c r="AM215" s="84"/>
      <c r="AN215" s="84"/>
      <c r="AP215" s="84"/>
      <c r="AU215" s="84"/>
      <c r="AY215" s="86"/>
      <c r="BE215" s="84"/>
      <c r="BJ215" s="84"/>
      <c r="BO215" s="84"/>
      <c r="BT215" s="84"/>
      <c r="BY215" s="84"/>
      <c r="CC215" s="84"/>
      <c r="CG215" s="84"/>
      <c r="CK215" s="85"/>
      <c r="CL215" s="85"/>
      <c r="CM215" s="84"/>
      <c r="CO215" s="84"/>
      <c r="CT215" s="84"/>
      <c r="CY215" s="84"/>
      <c r="DC215" s="84"/>
      <c r="DG215" s="84"/>
      <c r="DK215" s="84"/>
      <c r="DO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5"/>
      <c r="AM216" s="84"/>
      <c r="AN216" s="84"/>
      <c r="AP216" s="84"/>
      <c r="AU216" s="84"/>
      <c r="AY216" s="86"/>
      <c r="BE216" s="84"/>
      <c r="BJ216" s="84"/>
      <c r="BO216" s="84"/>
      <c r="BT216" s="84"/>
      <c r="BY216" s="84"/>
      <c r="CC216" s="84"/>
      <c r="CG216" s="84"/>
      <c r="CK216" s="85"/>
      <c r="CL216" s="85"/>
      <c r="CM216" s="84"/>
      <c r="CO216" s="84"/>
      <c r="CT216" s="84"/>
      <c r="CY216" s="84"/>
      <c r="DC216" s="84"/>
      <c r="DG216" s="84"/>
      <c r="DK216" s="84"/>
      <c r="DO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5"/>
      <c r="AM217" s="84"/>
      <c r="AN217" s="84"/>
      <c r="AP217" s="84"/>
      <c r="AU217" s="84"/>
      <c r="AY217" s="86"/>
      <c r="BE217" s="84"/>
      <c r="BJ217" s="84"/>
      <c r="BO217" s="84"/>
      <c r="BT217" s="84"/>
      <c r="BY217" s="84"/>
      <c r="CC217" s="84"/>
      <c r="CG217" s="84"/>
      <c r="CK217" s="85"/>
      <c r="CL217" s="85"/>
      <c r="CM217" s="84"/>
      <c r="CO217" s="84"/>
      <c r="CT217" s="84"/>
      <c r="CY217" s="84"/>
      <c r="DC217" s="84"/>
      <c r="DG217" s="84"/>
      <c r="DK217" s="84"/>
      <c r="DO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5"/>
      <c r="AM218" s="84"/>
      <c r="AN218" s="84"/>
      <c r="AP218" s="84"/>
      <c r="AU218" s="84"/>
      <c r="AY218" s="86"/>
      <c r="BE218" s="84"/>
      <c r="BJ218" s="84"/>
      <c r="BO218" s="84"/>
      <c r="BT218" s="84"/>
      <c r="BY218" s="84"/>
      <c r="CC218" s="84"/>
      <c r="CG218" s="84"/>
      <c r="CK218" s="85"/>
      <c r="CL218" s="85"/>
      <c r="CM218" s="84"/>
      <c r="CO218" s="84"/>
      <c r="CT218" s="84"/>
      <c r="CY218" s="84"/>
      <c r="DC218" s="84"/>
      <c r="DG218" s="84"/>
      <c r="DK218" s="84"/>
      <c r="DO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5"/>
      <c r="AM219" s="84"/>
      <c r="AN219" s="84"/>
      <c r="AP219" s="84"/>
      <c r="AU219" s="84"/>
      <c r="AY219" s="86"/>
      <c r="BE219" s="84"/>
      <c r="BJ219" s="84"/>
      <c r="BO219" s="84"/>
      <c r="BT219" s="84"/>
      <c r="BY219" s="84"/>
      <c r="CC219" s="84"/>
      <c r="CG219" s="84"/>
      <c r="CK219" s="85"/>
      <c r="CL219" s="85"/>
      <c r="CM219" s="84"/>
      <c r="CO219" s="84"/>
      <c r="CT219" s="84"/>
      <c r="CY219" s="84"/>
      <c r="DC219" s="84"/>
      <c r="DG219" s="84"/>
      <c r="DK219" s="84"/>
      <c r="DO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5"/>
      <c r="AM220" s="84"/>
      <c r="AN220" s="84"/>
      <c r="AP220" s="84"/>
      <c r="AU220" s="84"/>
      <c r="AY220" s="86"/>
      <c r="BE220" s="84"/>
      <c r="BJ220" s="84"/>
      <c r="BO220" s="84"/>
      <c r="BT220" s="84"/>
      <c r="BY220" s="84"/>
      <c r="CC220" s="84"/>
      <c r="CG220" s="84"/>
      <c r="CK220" s="85"/>
      <c r="CL220" s="85"/>
      <c r="CM220" s="84"/>
      <c r="CO220" s="84"/>
      <c r="CT220" s="84"/>
      <c r="CY220" s="84"/>
      <c r="DC220" s="84"/>
      <c r="DG220" s="84"/>
      <c r="DK220" s="84"/>
      <c r="DO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5"/>
      <c r="AM221" s="84"/>
      <c r="AN221" s="84"/>
      <c r="AP221" s="84"/>
      <c r="AU221" s="84"/>
      <c r="AY221" s="86"/>
      <c r="BE221" s="84"/>
      <c r="BJ221" s="84"/>
      <c r="BO221" s="84"/>
      <c r="BT221" s="84"/>
      <c r="BY221" s="84"/>
      <c r="CC221" s="84"/>
      <c r="CG221" s="84"/>
      <c r="CK221" s="85"/>
      <c r="CL221" s="85"/>
      <c r="CM221" s="84"/>
      <c r="CO221" s="84"/>
      <c r="CT221" s="84"/>
      <c r="CY221" s="84"/>
      <c r="DC221" s="84"/>
      <c r="DG221" s="84"/>
      <c r="DK221" s="84"/>
      <c r="DO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5"/>
      <c r="AM222" s="84"/>
      <c r="AN222" s="84"/>
      <c r="AP222" s="84"/>
      <c r="AU222" s="84"/>
      <c r="AY222" s="86"/>
      <c r="BE222" s="84"/>
      <c r="BJ222" s="84"/>
      <c r="BO222" s="84"/>
      <c r="BT222" s="84"/>
      <c r="BY222" s="84"/>
      <c r="CC222" s="84"/>
      <c r="CG222" s="84"/>
      <c r="CK222" s="85"/>
      <c r="CL222" s="85"/>
      <c r="CM222" s="84"/>
      <c r="CO222" s="84"/>
      <c r="CT222" s="84"/>
      <c r="CY222" s="84"/>
      <c r="DC222" s="84"/>
      <c r="DG222" s="84"/>
      <c r="DK222" s="84"/>
      <c r="DO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5"/>
      <c r="AM223" s="84"/>
      <c r="AN223" s="84"/>
      <c r="AP223" s="84"/>
      <c r="AU223" s="84"/>
      <c r="AY223" s="86"/>
      <c r="BE223" s="84"/>
      <c r="BJ223" s="84"/>
      <c r="BO223" s="84"/>
      <c r="BT223" s="84"/>
      <c r="BY223" s="84"/>
      <c r="CC223" s="84"/>
      <c r="CG223" s="84"/>
      <c r="CK223" s="85"/>
      <c r="CL223" s="85"/>
      <c r="CM223" s="84"/>
      <c r="CO223" s="84"/>
      <c r="CT223" s="84"/>
      <c r="CY223" s="84"/>
      <c r="DC223" s="84"/>
      <c r="DG223" s="84"/>
      <c r="DK223" s="84"/>
      <c r="DO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5"/>
      <c r="AM224" s="84"/>
      <c r="AN224" s="84"/>
      <c r="AP224" s="84"/>
      <c r="AU224" s="84"/>
      <c r="AY224" s="86"/>
      <c r="BE224" s="84"/>
      <c r="BJ224" s="84"/>
      <c r="BO224" s="84"/>
      <c r="BT224" s="84"/>
      <c r="BY224" s="84"/>
      <c r="CC224" s="84"/>
      <c r="CG224" s="84"/>
      <c r="CK224" s="85"/>
      <c r="CL224" s="85"/>
      <c r="CM224" s="84"/>
      <c r="CO224" s="84"/>
      <c r="CT224" s="84"/>
      <c r="CY224" s="84"/>
      <c r="DC224" s="84"/>
      <c r="DG224" s="84"/>
      <c r="DK224" s="84"/>
      <c r="DO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5"/>
      <c r="AM225" s="84"/>
      <c r="AN225" s="84"/>
      <c r="AP225" s="84"/>
      <c r="AU225" s="84"/>
      <c r="AY225" s="86"/>
      <c r="BE225" s="84"/>
      <c r="BJ225" s="84"/>
      <c r="BO225" s="84"/>
      <c r="BT225" s="84"/>
      <c r="BY225" s="84"/>
      <c r="CC225" s="84"/>
      <c r="CG225" s="84"/>
      <c r="CK225" s="85"/>
      <c r="CL225" s="85"/>
      <c r="CM225" s="84"/>
      <c r="CO225" s="84"/>
      <c r="CT225" s="84"/>
      <c r="CY225" s="84"/>
      <c r="DC225" s="84"/>
      <c r="DG225" s="84"/>
      <c r="DK225" s="84"/>
      <c r="DO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5"/>
      <c r="AM226" s="84"/>
      <c r="AN226" s="84"/>
      <c r="AP226" s="84"/>
      <c r="AU226" s="84"/>
      <c r="AY226" s="86"/>
      <c r="BE226" s="84"/>
      <c r="BJ226" s="84"/>
      <c r="BO226" s="84"/>
      <c r="BT226" s="84"/>
      <c r="BY226" s="84"/>
      <c r="CC226" s="84"/>
      <c r="CG226" s="84"/>
      <c r="CK226" s="85"/>
      <c r="CL226" s="85"/>
      <c r="CM226" s="84"/>
      <c r="CO226" s="84"/>
      <c r="CT226" s="84"/>
      <c r="CY226" s="84"/>
      <c r="DC226" s="84"/>
      <c r="DG226" s="84"/>
      <c r="DK226" s="84"/>
      <c r="DO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5"/>
      <c r="AM227" s="84"/>
      <c r="AN227" s="84"/>
      <c r="AP227" s="84"/>
      <c r="AU227" s="84"/>
      <c r="AY227" s="86"/>
      <c r="BE227" s="84"/>
      <c r="BJ227" s="84"/>
      <c r="BO227" s="84"/>
      <c r="BT227" s="84"/>
      <c r="BY227" s="84"/>
      <c r="CC227" s="84"/>
      <c r="CG227" s="84"/>
      <c r="CK227" s="85"/>
      <c r="CL227" s="85"/>
      <c r="CM227" s="84"/>
      <c r="CO227" s="84"/>
      <c r="CT227" s="84"/>
      <c r="CY227" s="84"/>
      <c r="DC227" s="84"/>
      <c r="DG227" s="84"/>
      <c r="DK227" s="84"/>
      <c r="DO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5"/>
      <c r="AM228" s="84"/>
      <c r="AN228" s="84"/>
      <c r="AP228" s="84"/>
      <c r="AU228" s="84"/>
      <c r="AY228" s="86"/>
      <c r="BE228" s="84"/>
      <c r="BJ228" s="84"/>
      <c r="BO228" s="84"/>
      <c r="BT228" s="84"/>
      <c r="BY228" s="84"/>
      <c r="CC228" s="84"/>
      <c r="CG228" s="84"/>
      <c r="CK228" s="85"/>
      <c r="CL228" s="85"/>
      <c r="CM228" s="84"/>
      <c r="CO228" s="84"/>
      <c r="CT228" s="84"/>
      <c r="CY228" s="84"/>
      <c r="DC228" s="84"/>
      <c r="DG228" s="84"/>
      <c r="DK228" s="84"/>
      <c r="DO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5"/>
      <c r="AM229" s="84"/>
      <c r="AN229" s="84"/>
      <c r="AP229" s="84"/>
      <c r="AU229" s="84"/>
      <c r="AY229" s="86"/>
      <c r="BE229" s="84"/>
      <c r="BJ229" s="84"/>
      <c r="BO229" s="84"/>
      <c r="BT229" s="84"/>
      <c r="BY229" s="84"/>
      <c r="CC229" s="84"/>
      <c r="CG229" s="84"/>
      <c r="CK229" s="85"/>
      <c r="CL229" s="85"/>
      <c r="CM229" s="84"/>
      <c r="CO229" s="84"/>
      <c r="CT229" s="84"/>
      <c r="CY229" s="84"/>
      <c r="DC229" s="84"/>
      <c r="DG229" s="84"/>
      <c r="DK229" s="84"/>
      <c r="DO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5"/>
      <c r="AM230" s="84"/>
      <c r="AN230" s="84"/>
      <c r="AP230" s="84"/>
      <c r="AU230" s="84"/>
      <c r="AY230" s="86"/>
      <c r="BE230" s="84"/>
      <c r="BJ230" s="84"/>
      <c r="BO230" s="84"/>
      <c r="BT230" s="84"/>
      <c r="BY230" s="84"/>
      <c r="CC230" s="84"/>
      <c r="CG230" s="84"/>
      <c r="CK230" s="85"/>
      <c r="CL230" s="85"/>
      <c r="CM230" s="84"/>
      <c r="CO230" s="84"/>
      <c r="CT230" s="84"/>
      <c r="CY230" s="84"/>
      <c r="DC230" s="84"/>
      <c r="DG230" s="84"/>
      <c r="DK230" s="84"/>
      <c r="DO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5"/>
      <c r="AM231" s="84"/>
      <c r="AN231" s="84"/>
      <c r="AP231" s="84"/>
      <c r="AU231" s="84"/>
      <c r="AY231" s="86"/>
      <c r="BE231" s="84"/>
      <c r="BJ231" s="84"/>
      <c r="BO231" s="84"/>
      <c r="BT231" s="84"/>
      <c r="BY231" s="84"/>
      <c r="CC231" s="84"/>
      <c r="CG231" s="84"/>
      <c r="CK231" s="85"/>
      <c r="CL231" s="85"/>
      <c r="CM231" s="84"/>
      <c r="CO231" s="84"/>
      <c r="CT231" s="84"/>
      <c r="CY231" s="84"/>
      <c r="DC231" s="84"/>
      <c r="DG231" s="84"/>
      <c r="DK231" s="84"/>
      <c r="DO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5"/>
      <c r="AM232" s="84"/>
      <c r="AN232" s="84"/>
      <c r="AP232" s="84"/>
      <c r="AU232" s="84"/>
      <c r="AY232" s="86"/>
      <c r="BE232" s="84"/>
      <c r="BJ232" s="84"/>
      <c r="BO232" s="84"/>
      <c r="BT232" s="84"/>
      <c r="BY232" s="84"/>
      <c r="CC232" s="84"/>
      <c r="CG232" s="84"/>
      <c r="CK232" s="85"/>
      <c r="CL232" s="85"/>
      <c r="CM232" s="84"/>
      <c r="CO232" s="84"/>
      <c r="CT232" s="84"/>
      <c r="CY232" s="84"/>
      <c r="DC232" s="84"/>
      <c r="DG232" s="84"/>
      <c r="DK232" s="84"/>
      <c r="DO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5"/>
      <c r="AM233" s="84"/>
      <c r="AN233" s="84"/>
      <c r="AP233" s="84"/>
      <c r="AU233" s="84"/>
      <c r="AY233" s="86"/>
      <c r="BE233" s="84"/>
      <c r="BJ233" s="84"/>
      <c r="BO233" s="84"/>
      <c r="BT233" s="84"/>
      <c r="BY233" s="84"/>
      <c r="CC233" s="84"/>
      <c r="CG233" s="84"/>
      <c r="CK233" s="85"/>
      <c r="CL233" s="85"/>
      <c r="CM233" s="84"/>
      <c r="CO233" s="84"/>
      <c r="CT233" s="84"/>
      <c r="CY233" s="84"/>
      <c r="DC233" s="84"/>
      <c r="DG233" s="84"/>
      <c r="DK233" s="84"/>
      <c r="DO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5"/>
      <c r="AM234" s="84"/>
      <c r="AN234" s="84"/>
      <c r="AP234" s="84"/>
      <c r="AU234" s="84"/>
      <c r="AY234" s="86"/>
      <c r="BE234" s="84"/>
      <c r="BJ234" s="84"/>
      <c r="BO234" s="84"/>
      <c r="BT234" s="84"/>
      <c r="BY234" s="84"/>
      <c r="CC234" s="84"/>
      <c r="CG234" s="84"/>
      <c r="CK234" s="85"/>
      <c r="CL234" s="85"/>
      <c r="CM234" s="84"/>
      <c r="CO234" s="84"/>
      <c r="CT234" s="84"/>
      <c r="CY234" s="84"/>
      <c r="DC234" s="84"/>
      <c r="DG234" s="84"/>
      <c r="DK234" s="84"/>
      <c r="DO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5"/>
      <c r="AM235" s="84"/>
      <c r="AN235" s="84"/>
      <c r="AP235" s="84"/>
      <c r="AU235" s="84"/>
      <c r="AY235" s="86"/>
      <c r="BE235" s="84"/>
      <c r="BJ235" s="84"/>
      <c r="BO235" s="84"/>
      <c r="BT235" s="84"/>
      <c r="BY235" s="84"/>
      <c r="CC235" s="84"/>
      <c r="CG235" s="84"/>
      <c r="CK235" s="85"/>
      <c r="CL235" s="85"/>
      <c r="CM235" s="84"/>
      <c r="CO235" s="84"/>
      <c r="CT235" s="84"/>
      <c r="CY235" s="84"/>
      <c r="DC235" s="84"/>
      <c r="DG235" s="84"/>
      <c r="DK235" s="84"/>
      <c r="DO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5"/>
      <c r="AM236" s="84"/>
      <c r="AN236" s="84"/>
      <c r="AP236" s="84"/>
      <c r="AU236" s="84"/>
      <c r="AY236" s="86"/>
      <c r="BE236" s="84"/>
      <c r="BJ236" s="84"/>
      <c r="BO236" s="84"/>
      <c r="BT236" s="84"/>
      <c r="BY236" s="84"/>
      <c r="CC236" s="84"/>
      <c r="CG236" s="84"/>
      <c r="CK236" s="85"/>
      <c r="CL236" s="85"/>
      <c r="CM236" s="84"/>
      <c r="CO236" s="84"/>
      <c r="CT236" s="84"/>
      <c r="CY236" s="84"/>
      <c r="DC236" s="84"/>
      <c r="DG236" s="84"/>
      <c r="DK236" s="84"/>
      <c r="DO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5"/>
      <c r="AM237" s="84"/>
      <c r="AN237" s="84"/>
      <c r="AP237" s="84"/>
      <c r="AU237" s="84"/>
      <c r="AY237" s="86"/>
      <c r="BE237" s="84"/>
      <c r="BJ237" s="84"/>
      <c r="BO237" s="84"/>
      <c r="BT237" s="84"/>
      <c r="BY237" s="84"/>
      <c r="CC237" s="84"/>
      <c r="CG237" s="84"/>
      <c r="CK237" s="85"/>
      <c r="CL237" s="85"/>
      <c r="CM237" s="84"/>
      <c r="CO237" s="84"/>
      <c r="CT237" s="84"/>
      <c r="CY237" s="84"/>
      <c r="DC237" s="84"/>
      <c r="DG237" s="84"/>
      <c r="DK237" s="84"/>
      <c r="DO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5"/>
      <c r="AM238" s="84"/>
      <c r="AN238" s="84"/>
      <c r="AP238" s="84"/>
      <c r="AU238" s="84"/>
      <c r="AY238" s="86"/>
      <c r="BE238" s="84"/>
      <c r="BJ238" s="84"/>
      <c r="BO238" s="84"/>
      <c r="BT238" s="84"/>
      <c r="BY238" s="84"/>
      <c r="CC238" s="84"/>
      <c r="CG238" s="84"/>
      <c r="CK238" s="85"/>
      <c r="CL238" s="85"/>
      <c r="CM238" s="84"/>
      <c r="CO238" s="84"/>
      <c r="CT238" s="84"/>
      <c r="CY238" s="84"/>
      <c r="DC238" s="84"/>
      <c r="DG238" s="84"/>
      <c r="DK238" s="84"/>
      <c r="DO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5"/>
      <c r="AM239" s="84"/>
      <c r="AN239" s="84"/>
      <c r="AP239" s="84"/>
      <c r="AU239" s="84"/>
      <c r="AY239" s="86"/>
      <c r="BE239" s="84"/>
      <c r="BJ239" s="84"/>
      <c r="BO239" s="84"/>
      <c r="BT239" s="84"/>
      <c r="BY239" s="84"/>
      <c r="CC239" s="84"/>
      <c r="CG239" s="84"/>
      <c r="CK239" s="85"/>
      <c r="CL239" s="85"/>
      <c r="CM239" s="84"/>
      <c r="CO239" s="84"/>
      <c r="CT239" s="84"/>
      <c r="CY239" s="84"/>
      <c r="DC239" s="84"/>
      <c r="DG239" s="84"/>
      <c r="DK239" s="84"/>
      <c r="DO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5"/>
      <c r="AM240" s="84"/>
      <c r="AN240" s="84"/>
      <c r="AP240" s="84"/>
      <c r="AU240" s="84"/>
      <c r="AY240" s="86"/>
      <c r="BE240" s="84"/>
      <c r="BJ240" s="84"/>
      <c r="BO240" s="84"/>
      <c r="BT240" s="84"/>
      <c r="BY240" s="84"/>
      <c r="CC240" s="84"/>
      <c r="CG240" s="84"/>
      <c r="CK240" s="85"/>
      <c r="CL240" s="85"/>
      <c r="CM240" s="84"/>
      <c r="CO240" s="84"/>
      <c r="CT240" s="84"/>
      <c r="CY240" s="84"/>
      <c r="DC240" s="84"/>
      <c r="DG240" s="84"/>
      <c r="DK240" s="84"/>
      <c r="DO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5"/>
      <c r="AM241" s="84"/>
      <c r="AN241" s="84"/>
      <c r="AP241" s="84"/>
      <c r="AU241" s="84"/>
      <c r="AY241" s="86"/>
      <c r="BE241" s="84"/>
      <c r="BJ241" s="84"/>
      <c r="BO241" s="84"/>
      <c r="BT241" s="84"/>
      <c r="BY241" s="84"/>
      <c r="CC241" s="84"/>
      <c r="CG241" s="84"/>
      <c r="CK241" s="85"/>
      <c r="CL241" s="85"/>
      <c r="CM241" s="84"/>
      <c r="CO241" s="84"/>
      <c r="CT241" s="84"/>
      <c r="CY241" s="84"/>
      <c r="DC241" s="84"/>
      <c r="DG241" s="84"/>
      <c r="DK241" s="84"/>
      <c r="DO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5"/>
      <c r="AM242" s="84"/>
      <c r="AN242" s="84"/>
      <c r="AP242" s="84"/>
      <c r="AU242" s="84"/>
      <c r="AY242" s="86"/>
      <c r="BE242" s="84"/>
      <c r="BJ242" s="84"/>
      <c r="BO242" s="84"/>
      <c r="BT242" s="84"/>
      <c r="BY242" s="84"/>
      <c r="CC242" s="84"/>
      <c r="CG242" s="84"/>
      <c r="CK242" s="85"/>
      <c r="CL242" s="85"/>
      <c r="CM242" s="84"/>
      <c r="CO242" s="84"/>
      <c r="CT242" s="84"/>
      <c r="CY242" s="84"/>
      <c r="DC242" s="84"/>
      <c r="DG242" s="84"/>
      <c r="DK242" s="84"/>
      <c r="DO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5"/>
      <c r="AM243" s="84"/>
      <c r="AN243" s="84"/>
      <c r="AP243" s="84"/>
      <c r="AU243" s="84"/>
      <c r="AY243" s="86"/>
      <c r="BE243" s="84"/>
      <c r="BJ243" s="84"/>
      <c r="BO243" s="84"/>
      <c r="BT243" s="84"/>
      <c r="BY243" s="84"/>
      <c r="CC243" s="84"/>
      <c r="CG243" s="84"/>
      <c r="CK243" s="85"/>
      <c r="CL243" s="85"/>
      <c r="CM243" s="84"/>
      <c r="CO243" s="84"/>
      <c r="CT243" s="84"/>
      <c r="CY243" s="84"/>
      <c r="DC243" s="84"/>
      <c r="DG243" s="84"/>
      <c r="DK243" s="84"/>
      <c r="DO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5"/>
      <c r="AM244" s="84"/>
      <c r="AN244" s="84"/>
      <c r="AP244" s="84"/>
      <c r="AU244" s="84"/>
      <c r="AY244" s="86"/>
      <c r="BE244" s="84"/>
      <c r="BJ244" s="84"/>
      <c r="BO244" s="84"/>
      <c r="BT244" s="84"/>
      <c r="BY244" s="84"/>
      <c r="CC244" s="84"/>
      <c r="CG244" s="84"/>
      <c r="CK244" s="85"/>
      <c r="CL244" s="85"/>
      <c r="CM244" s="84"/>
      <c r="CO244" s="84"/>
      <c r="CT244" s="84"/>
      <c r="CY244" s="84"/>
      <c r="DC244" s="84"/>
      <c r="DG244" s="84"/>
      <c r="DK244" s="84"/>
      <c r="DO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5"/>
      <c r="AM245" s="84"/>
      <c r="AN245" s="84"/>
      <c r="AP245" s="84"/>
      <c r="AU245" s="84"/>
      <c r="AY245" s="86"/>
      <c r="BE245" s="84"/>
      <c r="BJ245" s="84"/>
      <c r="BO245" s="84"/>
      <c r="BT245" s="84"/>
      <c r="BY245" s="84"/>
      <c r="CC245" s="84"/>
      <c r="CG245" s="84"/>
      <c r="CK245" s="85"/>
      <c r="CL245" s="85"/>
      <c r="CM245" s="84"/>
      <c r="CO245" s="84"/>
      <c r="CT245" s="84"/>
      <c r="CY245" s="84"/>
      <c r="DC245" s="84"/>
      <c r="DG245" s="84"/>
      <c r="DK245" s="84"/>
      <c r="DO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5"/>
      <c r="AM246" s="84"/>
      <c r="AN246" s="84"/>
      <c r="AP246" s="84"/>
      <c r="AU246" s="84"/>
      <c r="AY246" s="86"/>
      <c r="BE246" s="84"/>
      <c r="BJ246" s="84"/>
      <c r="BO246" s="84"/>
      <c r="BT246" s="84"/>
      <c r="BY246" s="84"/>
      <c r="CC246" s="84"/>
      <c r="CG246" s="84"/>
      <c r="CK246" s="85"/>
      <c r="CL246" s="85"/>
      <c r="CM246" s="84"/>
      <c r="CO246" s="84"/>
      <c r="CT246" s="84"/>
      <c r="CY246" s="84"/>
      <c r="DC246" s="84"/>
      <c r="DG246" s="84"/>
      <c r="DK246" s="84"/>
      <c r="DO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5"/>
      <c r="AM247" s="84"/>
      <c r="AN247" s="84"/>
      <c r="AP247" s="84"/>
      <c r="AU247" s="84"/>
      <c r="AY247" s="86"/>
      <c r="BE247" s="84"/>
      <c r="BJ247" s="84"/>
      <c r="BO247" s="84"/>
      <c r="BT247" s="84"/>
      <c r="BY247" s="84"/>
      <c r="CC247" s="84"/>
      <c r="CG247" s="84"/>
      <c r="CK247" s="85"/>
      <c r="CL247" s="85"/>
      <c r="CM247" s="84"/>
      <c r="CO247" s="84"/>
      <c r="CT247" s="84"/>
      <c r="CY247" s="84"/>
      <c r="DC247" s="84"/>
      <c r="DG247" s="84"/>
      <c r="DK247" s="84"/>
      <c r="DO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5"/>
      <c r="AM248" s="84"/>
      <c r="AN248" s="84"/>
      <c r="AP248" s="84"/>
      <c r="AU248" s="84"/>
      <c r="AY248" s="86"/>
      <c r="BE248" s="84"/>
      <c r="BJ248" s="84"/>
      <c r="BO248" s="84"/>
      <c r="BT248" s="84"/>
      <c r="BY248" s="84"/>
      <c r="CC248" s="84"/>
      <c r="CG248" s="84"/>
      <c r="CK248" s="85"/>
      <c r="CL248" s="85"/>
      <c r="CM248" s="84"/>
      <c r="CO248" s="84"/>
      <c r="CT248" s="84"/>
      <c r="CY248" s="84"/>
      <c r="DC248" s="84"/>
      <c r="DG248" s="84"/>
      <c r="DK248" s="84"/>
      <c r="DO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5"/>
      <c r="AM249" s="84"/>
      <c r="AN249" s="84"/>
      <c r="AP249" s="84"/>
      <c r="AU249" s="84"/>
      <c r="AY249" s="86"/>
      <c r="BE249" s="84"/>
      <c r="BJ249" s="84"/>
      <c r="BO249" s="84"/>
      <c r="BT249" s="84"/>
      <c r="BY249" s="84"/>
      <c r="CC249" s="84"/>
      <c r="CG249" s="84"/>
      <c r="CK249" s="85"/>
      <c r="CL249" s="85"/>
      <c r="CM249" s="84"/>
      <c r="CO249" s="84"/>
      <c r="CT249" s="84"/>
      <c r="CY249" s="84"/>
      <c r="DC249" s="84"/>
      <c r="DG249" s="84"/>
      <c r="DK249" s="84"/>
      <c r="DO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5"/>
      <c r="AM250" s="84"/>
      <c r="AN250" s="84"/>
      <c r="AP250" s="84"/>
      <c r="AU250" s="84"/>
      <c r="AY250" s="86"/>
      <c r="BE250" s="84"/>
      <c r="BJ250" s="84"/>
      <c r="BO250" s="84"/>
      <c r="BT250" s="84"/>
      <c r="BY250" s="84"/>
      <c r="CC250" s="84"/>
      <c r="CG250" s="84"/>
      <c r="CK250" s="85"/>
      <c r="CL250" s="85"/>
      <c r="CM250" s="84"/>
      <c r="CO250" s="84"/>
      <c r="CT250" s="84"/>
      <c r="CY250" s="84"/>
      <c r="DC250" s="84"/>
      <c r="DG250" s="84"/>
      <c r="DK250" s="84"/>
      <c r="DO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5"/>
      <c r="AM251" s="84"/>
      <c r="AN251" s="84"/>
      <c r="AP251" s="84"/>
      <c r="AU251" s="84"/>
      <c r="AY251" s="86"/>
      <c r="BE251" s="84"/>
      <c r="BJ251" s="84"/>
      <c r="BO251" s="84"/>
      <c r="BT251" s="84"/>
      <c r="BY251" s="84"/>
      <c r="CC251" s="84"/>
      <c r="CG251" s="84"/>
      <c r="CK251" s="85"/>
      <c r="CL251" s="85"/>
      <c r="CM251" s="84"/>
      <c r="CO251" s="84"/>
      <c r="CT251" s="84"/>
      <c r="CY251" s="84"/>
      <c r="DC251" s="84"/>
      <c r="DG251" s="84"/>
      <c r="DK251" s="84"/>
      <c r="DO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5"/>
      <c r="AM252" s="84"/>
      <c r="AN252" s="84"/>
      <c r="AP252" s="84"/>
      <c r="AU252" s="84"/>
      <c r="AY252" s="86"/>
      <c r="BE252" s="84"/>
      <c r="BJ252" s="84"/>
      <c r="BO252" s="84"/>
      <c r="BT252" s="84"/>
      <c r="BY252" s="84"/>
      <c r="CC252" s="84"/>
      <c r="CG252" s="84"/>
      <c r="CK252" s="85"/>
      <c r="CL252" s="85"/>
      <c r="CM252" s="84"/>
      <c r="CO252" s="84"/>
      <c r="CT252" s="84"/>
      <c r="CY252" s="84"/>
      <c r="DC252" s="84"/>
      <c r="DG252" s="84"/>
      <c r="DK252" s="84"/>
      <c r="DO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5"/>
      <c r="AM253" s="84"/>
      <c r="AN253" s="84"/>
      <c r="AP253" s="84"/>
      <c r="AU253" s="84"/>
      <c r="AY253" s="86"/>
      <c r="BE253" s="84"/>
      <c r="BJ253" s="84"/>
      <c r="BO253" s="84"/>
      <c r="BT253" s="84"/>
      <c r="BY253" s="84"/>
      <c r="CC253" s="84"/>
      <c r="CG253" s="84"/>
      <c r="CK253" s="85"/>
      <c r="CL253" s="85"/>
      <c r="CM253" s="84"/>
      <c r="CO253" s="84"/>
      <c r="CT253" s="84"/>
      <c r="CY253" s="84"/>
      <c r="DC253" s="84"/>
      <c r="DG253" s="84"/>
      <c r="DK253" s="84"/>
      <c r="DO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5"/>
      <c r="AM254" s="84"/>
      <c r="AN254" s="84"/>
      <c r="AP254" s="84"/>
      <c r="AU254" s="84"/>
      <c r="AY254" s="86"/>
      <c r="BE254" s="84"/>
      <c r="BJ254" s="84"/>
      <c r="BO254" s="84"/>
      <c r="BT254" s="84"/>
      <c r="BY254" s="84"/>
      <c r="CC254" s="84"/>
      <c r="CG254" s="84"/>
      <c r="CK254" s="85"/>
      <c r="CL254" s="85"/>
      <c r="CM254" s="84"/>
      <c r="CO254" s="84"/>
      <c r="CT254" s="84"/>
      <c r="CY254" s="84"/>
      <c r="DC254" s="84"/>
      <c r="DG254" s="84"/>
      <c r="DK254" s="84"/>
      <c r="DO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5"/>
      <c r="AM255" s="84"/>
      <c r="AN255" s="84"/>
      <c r="AP255" s="84"/>
      <c r="AU255" s="84"/>
      <c r="AY255" s="86"/>
      <c r="BE255" s="84"/>
      <c r="BJ255" s="84"/>
      <c r="BO255" s="84"/>
      <c r="BT255" s="84"/>
      <c r="BY255" s="84"/>
      <c r="CC255" s="84"/>
      <c r="CG255" s="84"/>
      <c r="CK255" s="85"/>
      <c r="CL255" s="85"/>
      <c r="CM255" s="84"/>
      <c r="CO255" s="84"/>
      <c r="CT255" s="84"/>
      <c r="CY255" s="84"/>
      <c r="DC255" s="84"/>
      <c r="DG255" s="84"/>
      <c r="DK255" s="84"/>
      <c r="DO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5"/>
      <c r="AM256" s="84"/>
      <c r="AN256" s="84"/>
      <c r="AP256" s="84"/>
      <c r="AU256" s="84"/>
      <c r="AY256" s="86"/>
      <c r="BE256" s="84"/>
      <c r="BJ256" s="84"/>
      <c r="BO256" s="84"/>
      <c r="BT256" s="84"/>
      <c r="BY256" s="84"/>
      <c r="CC256" s="84"/>
      <c r="CG256" s="84"/>
      <c r="CK256" s="85"/>
      <c r="CL256" s="85"/>
      <c r="CM256" s="84"/>
      <c r="CO256" s="84"/>
      <c r="CT256" s="84"/>
      <c r="CY256" s="84"/>
      <c r="DC256" s="84"/>
      <c r="DG256" s="84"/>
      <c r="DK256" s="84"/>
      <c r="DO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5"/>
      <c r="AM257" s="84"/>
      <c r="AN257" s="84"/>
      <c r="AP257" s="84"/>
      <c r="AU257" s="84"/>
      <c r="AY257" s="86"/>
      <c r="BE257" s="84"/>
      <c r="BJ257" s="84"/>
      <c r="BO257" s="84"/>
      <c r="BT257" s="84"/>
      <c r="BY257" s="84"/>
      <c r="CC257" s="84"/>
      <c r="CG257" s="84"/>
      <c r="CK257" s="85"/>
      <c r="CL257" s="85"/>
      <c r="CM257" s="84"/>
      <c r="CO257" s="84"/>
      <c r="CT257" s="84"/>
      <c r="CY257" s="84"/>
      <c r="DC257" s="84"/>
      <c r="DG257" s="84"/>
      <c r="DK257" s="84"/>
      <c r="DO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5"/>
      <c r="AM258" s="84"/>
      <c r="AN258" s="84"/>
      <c r="AP258" s="84"/>
      <c r="AU258" s="84"/>
      <c r="AY258" s="86"/>
      <c r="BE258" s="84"/>
      <c r="BJ258" s="84"/>
      <c r="BO258" s="84"/>
      <c r="BT258" s="84"/>
      <c r="BY258" s="84"/>
      <c r="CC258" s="84"/>
      <c r="CG258" s="84"/>
      <c r="CK258" s="85"/>
      <c r="CL258" s="85"/>
      <c r="CM258" s="84"/>
      <c r="CO258" s="84"/>
      <c r="CT258" s="84"/>
      <c r="CY258" s="84"/>
      <c r="DC258" s="84"/>
      <c r="DG258" s="84"/>
      <c r="DK258" s="84"/>
      <c r="DO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5"/>
      <c r="AM259" s="84"/>
      <c r="AN259" s="84"/>
      <c r="AP259" s="84"/>
      <c r="AU259" s="84"/>
      <c r="AY259" s="86"/>
      <c r="BE259" s="84"/>
      <c r="BJ259" s="84"/>
      <c r="BO259" s="84"/>
      <c r="BT259" s="84"/>
      <c r="BY259" s="84"/>
      <c r="CC259" s="84"/>
      <c r="CG259" s="84"/>
      <c r="CK259" s="85"/>
      <c r="CL259" s="85"/>
      <c r="CM259" s="84"/>
      <c r="CO259" s="84"/>
      <c r="CT259" s="84"/>
      <c r="CY259" s="84"/>
      <c r="DC259" s="84"/>
      <c r="DG259" s="84"/>
      <c r="DK259" s="84"/>
      <c r="DO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5"/>
      <c r="AM260" s="84"/>
      <c r="AN260" s="84"/>
      <c r="AP260" s="84"/>
      <c r="AU260" s="84"/>
      <c r="AY260" s="86"/>
      <c r="BE260" s="84"/>
      <c r="BJ260" s="84"/>
      <c r="BO260" s="84"/>
      <c r="BT260" s="84"/>
      <c r="BY260" s="84"/>
      <c r="CC260" s="84"/>
      <c r="CG260" s="84"/>
      <c r="CK260" s="85"/>
      <c r="CL260" s="85"/>
      <c r="CM260" s="84"/>
      <c r="CO260" s="84"/>
      <c r="CT260" s="84"/>
      <c r="CY260" s="84"/>
      <c r="DC260" s="84"/>
      <c r="DG260" s="84"/>
      <c r="DK260" s="84"/>
      <c r="DO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5"/>
      <c r="AM261" s="84"/>
      <c r="AN261" s="84"/>
      <c r="AP261" s="84"/>
      <c r="AU261" s="84"/>
      <c r="AY261" s="86"/>
      <c r="BE261" s="84"/>
      <c r="BJ261" s="84"/>
      <c r="BO261" s="84"/>
      <c r="BT261" s="84"/>
      <c r="BY261" s="84"/>
      <c r="CC261" s="84"/>
      <c r="CG261" s="84"/>
      <c r="CK261" s="85"/>
      <c r="CL261" s="85"/>
      <c r="CM261" s="84"/>
      <c r="CO261" s="84"/>
      <c r="CT261" s="84"/>
      <c r="CY261" s="84"/>
      <c r="DC261" s="84"/>
      <c r="DG261" s="84"/>
      <c r="DK261" s="84"/>
      <c r="DO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5"/>
      <c r="AM262" s="84"/>
      <c r="AN262" s="84"/>
      <c r="AP262" s="84"/>
      <c r="AU262" s="84"/>
      <c r="AY262" s="86"/>
      <c r="BE262" s="84"/>
      <c r="BJ262" s="84"/>
      <c r="BO262" s="84"/>
      <c r="BT262" s="84"/>
      <c r="BY262" s="84"/>
      <c r="CC262" s="84"/>
      <c r="CG262" s="84"/>
      <c r="CK262" s="85"/>
      <c r="CL262" s="85"/>
      <c r="CM262" s="84"/>
      <c r="CO262" s="84"/>
      <c r="CT262" s="84"/>
      <c r="CY262" s="84"/>
      <c r="DC262" s="84"/>
      <c r="DG262" s="84"/>
      <c r="DK262" s="84"/>
      <c r="DO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5"/>
      <c r="AM263" s="84"/>
      <c r="AN263" s="84"/>
      <c r="AP263" s="84"/>
      <c r="AU263" s="84"/>
      <c r="AY263" s="86"/>
      <c r="BE263" s="84"/>
      <c r="BJ263" s="84"/>
      <c r="BO263" s="84"/>
      <c r="BT263" s="84"/>
      <c r="BY263" s="84"/>
      <c r="CC263" s="84"/>
      <c r="CG263" s="84"/>
      <c r="CK263" s="85"/>
      <c r="CL263" s="85"/>
      <c r="CM263" s="84"/>
      <c r="CO263" s="84"/>
      <c r="CT263" s="84"/>
      <c r="CY263" s="84"/>
      <c r="DC263" s="84"/>
      <c r="DG263" s="84"/>
      <c r="DK263" s="84"/>
      <c r="DO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5"/>
      <c r="AM264" s="84"/>
      <c r="AN264" s="84"/>
      <c r="AP264" s="84"/>
      <c r="AU264" s="84"/>
      <c r="AY264" s="86"/>
      <c r="BE264" s="84"/>
      <c r="BJ264" s="84"/>
      <c r="BO264" s="84"/>
      <c r="BT264" s="84"/>
      <c r="BY264" s="84"/>
      <c r="CC264" s="84"/>
      <c r="CG264" s="84"/>
      <c r="CK264" s="85"/>
      <c r="CL264" s="85"/>
      <c r="CM264" s="84"/>
      <c r="CO264" s="84"/>
      <c r="CT264" s="84"/>
      <c r="CY264" s="84"/>
      <c r="DC264" s="84"/>
      <c r="DG264" s="84"/>
      <c r="DK264" s="84"/>
      <c r="DO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5"/>
      <c r="AM265" s="84"/>
      <c r="AN265" s="84"/>
      <c r="AP265" s="84"/>
      <c r="AU265" s="84"/>
      <c r="AY265" s="86"/>
      <c r="BE265" s="84"/>
      <c r="BJ265" s="84"/>
      <c r="BO265" s="84"/>
      <c r="BT265" s="84"/>
      <c r="BY265" s="84"/>
      <c r="CC265" s="84"/>
      <c r="CG265" s="84"/>
      <c r="CK265" s="85"/>
      <c r="CL265" s="85"/>
      <c r="CM265" s="84"/>
      <c r="CO265" s="84"/>
      <c r="CT265" s="84"/>
      <c r="CY265" s="84"/>
      <c r="DC265" s="84"/>
      <c r="DG265" s="84"/>
      <c r="DK265" s="84"/>
      <c r="DO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5"/>
      <c r="AM266" s="84"/>
      <c r="AN266" s="84"/>
      <c r="AP266" s="84"/>
      <c r="AU266" s="84"/>
      <c r="AY266" s="86"/>
      <c r="BE266" s="84"/>
      <c r="BJ266" s="84"/>
      <c r="BO266" s="84"/>
      <c r="BT266" s="84"/>
      <c r="BY266" s="84"/>
      <c r="CC266" s="84"/>
      <c r="CG266" s="84"/>
      <c r="CK266" s="85"/>
      <c r="CL266" s="85"/>
      <c r="CM266" s="84"/>
      <c r="CO266" s="84"/>
      <c r="CT266" s="84"/>
      <c r="CY266" s="84"/>
      <c r="DC266" s="84"/>
      <c r="DG266" s="84"/>
      <c r="DK266" s="84"/>
      <c r="DO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5"/>
      <c r="AM267" s="84"/>
      <c r="AN267" s="84"/>
      <c r="AP267" s="84"/>
      <c r="AU267" s="84"/>
      <c r="AY267" s="86"/>
      <c r="BE267" s="84"/>
      <c r="BJ267" s="84"/>
      <c r="BO267" s="84"/>
      <c r="BT267" s="84"/>
      <c r="BY267" s="84"/>
      <c r="CC267" s="84"/>
      <c r="CG267" s="84"/>
      <c r="CK267" s="85"/>
      <c r="CL267" s="85"/>
      <c r="CM267" s="84"/>
      <c r="CO267" s="84"/>
      <c r="CT267" s="84"/>
      <c r="CY267" s="84"/>
      <c r="DC267" s="84"/>
      <c r="DG267" s="84"/>
      <c r="DK267" s="84"/>
      <c r="DO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5"/>
      <c r="AM268" s="84"/>
      <c r="AN268" s="84"/>
      <c r="AP268" s="84"/>
      <c r="AU268" s="84"/>
      <c r="AY268" s="86"/>
      <c r="BE268" s="84"/>
      <c r="BJ268" s="84"/>
      <c r="BO268" s="84"/>
      <c r="BT268" s="84"/>
      <c r="BY268" s="84"/>
      <c r="CC268" s="84"/>
      <c r="CG268" s="84"/>
      <c r="CK268" s="85"/>
      <c r="CL268" s="85"/>
      <c r="CM268" s="84"/>
      <c r="CO268" s="84"/>
      <c r="CT268" s="84"/>
      <c r="CY268" s="84"/>
      <c r="DC268" s="84"/>
      <c r="DG268" s="84"/>
      <c r="DK268" s="84"/>
      <c r="DO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5"/>
      <c r="AM269" s="84"/>
      <c r="AN269" s="84"/>
      <c r="AP269" s="84"/>
      <c r="AU269" s="84"/>
      <c r="AY269" s="86"/>
      <c r="BE269" s="84"/>
      <c r="BJ269" s="84"/>
      <c r="BO269" s="84"/>
      <c r="BT269" s="84"/>
      <c r="BY269" s="84"/>
      <c r="CC269" s="84"/>
      <c r="CG269" s="84"/>
      <c r="CK269" s="85"/>
      <c r="CL269" s="85"/>
      <c r="CM269" s="84"/>
      <c r="CO269" s="84"/>
      <c r="CT269" s="84"/>
      <c r="CY269" s="84"/>
      <c r="DC269" s="84"/>
      <c r="DG269" s="84"/>
      <c r="DK269" s="84"/>
      <c r="DO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5"/>
      <c r="AM270" s="84"/>
      <c r="AN270" s="84"/>
      <c r="AP270" s="84"/>
      <c r="AU270" s="84"/>
      <c r="AY270" s="86"/>
      <c r="BE270" s="84"/>
      <c r="BJ270" s="84"/>
      <c r="BO270" s="84"/>
      <c r="BT270" s="84"/>
      <c r="BY270" s="84"/>
      <c r="CC270" s="84"/>
      <c r="CG270" s="84"/>
      <c r="CK270" s="85"/>
      <c r="CL270" s="85"/>
      <c r="CM270" s="84"/>
      <c r="CO270" s="84"/>
      <c r="CT270" s="84"/>
      <c r="CY270" s="84"/>
      <c r="DC270" s="84"/>
      <c r="DG270" s="84"/>
      <c r="DK270" s="84"/>
      <c r="DO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5"/>
      <c r="AM271" s="84"/>
      <c r="AN271" s="84"/>
      <c r="AP271" s="84"/>
      <c r="AU271" s="84"/>
      <c r="AY271" s="86"/>
      <c r="BE271" s="84"/>
      <c r="BJ271" s="84"/>
      <c r="BO271" s="84"/>
      <c r="BT271" s="84"/>
      <c r="BY271" s="84"/>
      <c r="CC271" s="84"/>
      <c r="CG271" s="84"/>
      <c r="CK271" s="85"/>
      <c r="CL271" s="85"/>
      <c r="CM271" s="84"/>
      <c r="CO271" s="84"/>
      <c r="CT271" s="84"/>
      <c r="CY271" s="84"/>
      <c r="DC271" s="84"/>
      <c r="DG271" s="84"/>
      <c r="DK271" s="84"/>
      <c r="DO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5"/>
      <c r="AM272" s="84"/>
      <c r="AN272" s="84"/>
      <c r="AP272" s="84"/>
      <c r="AU272" s="84"/>
      <c r="AY272" s="86"/>
      <c r="BE272" s="84"/>
      <c r="BJ272" s="84"/>
      <c r="BO272" s="84"/>
      <c r="BT272" s="84"/>
      <c r="BY272" s="84"/>
      <c r="CC272" s="84"/>
      <c r="CG272" s="84"/>
      <c r="CK272" s="85"/>
      <c r="CL272" s="85"/>
      <c r="CM272" s="84"/>
      <c r="CO272" s="84"/>
      <c r="CT272" s="84"/>
      <c r="CY272" s="84"/>
      <c r="DC272" s="84"/>
      <c r="DG272" s="84"/>
      <c r="DK272" s="84"/>
      <c r="DO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5"/>
      <c r="AM273" s="84"/>
      <c r="AN273" s="84"/>
      <c r="AP273" s="84"/>
      <c r="AU273" s="84"/>
      <c r="AY273" s="86"/>
      <c r="BE273" s="84"/>
      <c r="BJ273" s="84"/>
      <c r="BO273" s="84"/>
      <c r="BT273" s="84"/>
      <c r="BY273" s="84"/>
      <c r="CC273" s="84"/>
      <c r="CG273" s="84"/>
      <c r="CK273" s="85"/>
      <c r="CL273" s="85"/>
      <c r="CM273" s="84"/>
      <c r="CO273" s="84"/>
      <c r="CT273" s="84"/>
      <c r="CY273" s="84"/>
      <c r="DC273" s="84"/>
      <c r="DG273" s="84"/>
      <c r="DK273" s="84"/>
      <c r="DO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5"/>
      <c r="AM274" s="84"/>
      <c r="AN274" s="84"/>
      <c r="AP274" s="84"/>
      <c r="AU274" s="84"/>
      <c r="AY274" s="86"/>
      <c r="BE274" s="84"/>
      <c r="BJ274" s="84"/>
      <c r="BO274" s="84"/>
      <c r="BT274" s="84"/>
      <c r="BY274" s="84"/>
      <c r="CC274" s="84"/>
      <c r="CG274" s="84"/>
      <c r="CK274" s="85"/>
      <c r="CL274" s="85"/>
      <c r="CM274" s="84"/>
      <c r="CO274" s="84"/>
      <c r="CT274" s="84"/>
      <c r="CY274" s="84"/>
      <c r="DC274" s="84"/>
      <c r="DG274" s="84"/>
      <c r="DK274" s="84"/>
      <c r="DO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5"/>
      <c r="AM275" s="84"/>
      <c r="AN275" s="84"/>
      <c r="AP275" s="84"/>
      <c r="AU275" s="84"/>
      <c r="AY275" s="86"/>
      <c r="BE275" s="84"/>
      <c r="BJ275" s="84"/>
      <c r="BO275" s="84"/>
      <c r="BT275" s="84"/>
      <c r="BY275" s="84"/>
      <c r="CC275" s="84"/>
      <c r="CG275" s="84"/>
      <c r="CK275" s="85"/>
      <c r="CL275" s="85"/>
      <c r="CM275" s="84"/>
      <c r="CO275" s="84"/>
      <c r="CT275" s="84"/>
      <c r="CY275" s="84"/>
      <c r="DC275" s="84"/>
      <c r="DG275" s="84"/>
      <c r="DK275" s="84"/>
      <c r="DO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5"/>
      <c r="AM276" s="84"/>
      <c r="AN276" s="84"/>
      <c r="AP276" s="84"/>
      <c r="AU276" s="84"/>
      <c r="AY276" s="86"/>
      <c r="BE276" s="84"/>
      <c r="BJ276" s="84"/>
      <c r="BO276" s="84"/>
      <c r="BT276" s="84"/>
      <c r="BY276" s="84"/>
      <c r="CC276" s="84"/>
      <c r="CG276" s="84"/>
      <c r="CK276" s="85"/>
      <c r="CL276" s="85"/>
      <c r="CM276" s="84"/>
      <c r="CO276" s="84"/>
      <c r="CT276" s="84"/>
      <c r="CY276" s="84"/>
      <c r="DC276" s="84"/>
      <c r="DG276" s="84"/>
      <c r="DK276" s="84"/>
      <c r="DO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5"/>
      <c r="AM277" s="84"/>
      <c r="AN277" s="84"/>
      <c r="AP277" s="84"/>
      <c r="AU277" s="84"/>
      <c r="AY277" s="86"/>
      <c r="BE277" s="84"/>
      <c r="BJ277" s="84"/>
      <c r="BO277" s="84"/>
      <c r="BT277" s="84"/>
      <c r="BY277" s="84"/>
      <c r="CC277" s="84"/>
      <c r="CG277" s="84"/>
      <c r="CK277" s="85"/>
      <c r="CL277" s="85"/>
      <c r="CM277" s="84"/>
      <c r="CO277" s="84"/>
      <c r="CT277" s="84"/>
      <c r="CY277" s="84"/>
      <c r="DC277" s="84"/>
      <c r="DG277" s="84"/>
      <c r="DK277" s="84"/>
      <c r="DO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5"/>
      <c r="AM278" s="84"/>
      <c r="AN278" s="84"/>
      <c r="AP278" s="84"/>
      <c r="AU278" s="84"/>
      <c r="AY278" s="86"/>
      <c r="BE278" s="84"/>
      <c r="BJ278" s="84"/>
      <c r="BO278" s="84"/>
      <c r="BT278" s="84"/>
      <c r="BY278" s="84"/>
      <c r="CC278" s="84"/>
      <c r="CG278" s="84"/>
      <c r="CK278" s="85"/>
      <c r="CL278" s="85"/>
      <c r="CM278" s="84"/>
      <c r="CO278" s="84"/>
      <c r="CT278" s="84"/>
      <c r="CY278" s="84"/>
      <c r="DC278" s="84"/>
      <c r="DG278" s="84"/>
      <c r="DK278" s="84"/>
      <c r="DO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5"/>
      <c r="AM279" s="84"/>
      <c r="AN279" s="84"/>
      <c r="AP279" s="84"/>
      <c r="AU279" s="84"/>
      <c r="AY279" s="86"/>
      <c r="BE279" s="84"/>
      <c r="BJ279" s="84"/>
      <c r="BO279" s="84"/>
      <c r="BT279" s="84"/>
      <c r="BY279" s="84"/>
      <c r="CC279" s="84"/>
      <c r="CG279" s="84"/>
      <c r="CK279" s="85"/>
      <c r="CL279" s="85"/>
      <c r="CM279" s="84"/>
      <c r="CO279" s="84"/>
      <c r="CT279" s="84"/>
      <c r="CY279" s="84"/>
      <c r="DC279" s="84"/>
      <c r="DG279" s="84"/>
      <c r="DK279" s="84"/>
      <c r="DO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5"/>
      <c r="AM280" s="84"/>
      <c r="AN280" s="84"/>
      <c r="AP280" s="84"/>
      <c r="AU280" s="84"/>
      <c r="AY280" s="86"/>
      <c r="BE280" s="84"/>
      <c r="BJ280" s="84"/>
      <c r="BO280" s="84"/>
      <c r="BT280" s="84"/>
      <c r="BY280" s="84"/>
      <c r="CC280" s="84"/>
      <c r="CG280" s="84"/>
      <c r="CK280" s="85"/>
      <c r="CL280" s="85"/>
      <c r="CM280" s="84"/>
      <c r="CO280" s="84"/>
      <c r="CT280" s="84"/>
      <c r="CY280" s="84"/>
      <c r="DC280" s="84"/>
      <c r="DG280" s="84"/>
      <c r="DK280" s="84"/>
      <c r="DO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5"/>
      <c r="AM281" s="84"/>
      <c r="AN281" s="84"/>
      <c r="AP281" s="84"/>
      <c r="AU281" s="84"/>
      <c r="AY281" s="86"/>
      <c r="BE281" s="84"/>
      <c r="BJ281" s="84"/>
      <c r="BO281" s="84"/>
      <c r="BT281" s="84"/>
      <c r="BY281" s="84"/>
      <c r="CC281" s="84"/>
      <c r="CG281" s="84"/>
      <c r="CK281" s="85"/>
      <c r="CL281" s="85"/>
      <c r="CM281" s="84"/>
      <c r="CO281" s="84"/>
      <c r="CT281" s="84"/>
      <c r="CY281" s="84"/>
      <c r="DC281" s="84"/>
      <c r="DG281" s="84"/>
      <c r="DK281" s="84"/>
      <c r="DO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5"/>
      <c r="AM282" s="84"/>
      <c r="AN282" s="84"/>
      <c r="AP282" s="84"/>
      <c r="AU282" s="84"/>
      <c r="AY282" s="86"/>
      <c r="BE282" s="84"/>
      <c r="BJ282" s="84"/>
      <c r="BO282" s="84"/>
      <c r="BT282" s="84"/>
      <c r="BY282" s="84"/>
      <c r="CC282" s="84"/>
      <c r="CG282" s="84"/>
      <c r="CK282" s="85"/>
      <c r="CL282" s="85"/>
      <c r="CM282" s="84"/>
      <c r="CO282" s="84"/>
      <c r="CT282" s="84"/>
      <c r="CY282" s="84"/>
      <c r="DC282" s="84"/>
      <c r="DG282" s="84"/>
      <c r="DK282" s="84"/>
      <c r="DO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5"/>
      <c r="AM283" s="84"/>
      <c r="AN283" s="84"/>
      <c r="AP283" s="84"/>
      <c r="AU283" s="84"/>
      <c r="AY283" s="86"/>
      <c r="BE283" s="84"/>
      <c r="BJ283" s="84"/>
      <c r="BO283" s="84"/>
      <c r="BT283" s="84"/>
      <c r="BY283" s="84"/>
      <c r="CC283" s="84"/>
      <c r="CG283" s="84"/>
      <c r="CK283" s="85"/>
      <c r="CL283" s="85"/>
      <c r="CM283" s="84"/>
      <c r="CO283" s="84"/>
      <c r="CT283" s="84"/>
      <c r="CY283" s="84"/>
      <c r="DC283" s="84"/>
      <c r="DG283" s="84"/>
      <c r="DK283" s="84"/>
      <c r="DO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5"/>
      <c r="AM284" s="84"/>
      <c r="AN284" s="84"/>
      <c r="AP284" s="84"/>
      <c r="AU284" s="84"/>
      <c r="AY284" s="86"/>
      <c r="BE284" s="84"/>
      <c r="BJ284" s="84"/>
      <c r="BO284" s="84"/>
      <c r="BT284" s="84"/>
      <c r="BY284" s="84"/>
      <c r="CC284" s="84"/>
      <c r="CG284" s="84"/>
      <c r="CK284" s="85"/>
      <c r="CL284" s="85"/>
      <c r="CM284" s="84"/>
      <c r="CO284" s="84"/>
      <c r="CT284" s="84"/>
      <c r="CY284" s="84"/>
      <c r="DC284" s="84"/>
      <c r="DG284" s="84"/>
      <c r="DK284" s="84"/>
      <c r="DO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5"/>
      <c r="AM285" s="84"/>
      <c r="AN285" s="84"/>
      <c r="AP285" s="84"/>
      <c r="AU285" s="84"/>
      <c r="AY285" s="86"/>
      <c r="BE285" s="84"/>
      <c r="BJ285" s="84"/>
      <c r="BO285" s="84"/>
      <c r="BT285" s="84"/>
      <c r="BY285" s="84"/>
      <c r="CC285" s="84"/>
      <c r="CG285" s="84"/>
      <c r="CK285" s="85"/>
      <c r="CL285" s="85"/>
      <c r="CM285" s="84"/>
      <c r="CO285" s="84"/>
      <c r="CT285" s="84"/>
      <c r="CY285" s="84"/>
      <c r="DC285" s="84"/>
      <c r="DG285" s="84"/>
      <c r="DK285" s="84"/>
      <c r="DO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5"/>
      <c r="AM286" s="84"/>
      <c r="AN286" s="84"/>
      <c r="AP286" s="84"/>
      <c r="AU286" s="84"/>
      <c r="AY286" s="86"/>
      <c r="BE286" s="84"/>
      <c r="BJ286" s="84"/>
      <c r="BO286" s="84"/>
      <c r="BT286" s="84"/>
      <c r="BY286" s="84"/>
      <c r="CC286" s="84"/>
      <c r="CG286" s="84"/>
      <c r="CK286" s="85"/>
      <c r="CL286" s="85"/>
      <c r="CM286" s="84"/>
      <c r="CO286" s="84"/>
      <c r="CT286" s="84"/>
      <c r="CY286" s="84"/>
      <c r="DC286" s="84"/>
      <c r="DG286" s="84"/>
      <c r="DK286" s="84"/>
      <c r="DO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5"/>
      <c r="AM287" s="84"/>
      <c r="AN287" s="84"/>
      <c r="AP287" s="84"/>
      <c r="AU287" s="84"/>
      <c r="AY287" s="86"/>
      <c r="BE287" s="84"/>
      <c r="BJ287" s="84"/>
      <c r="BO287" s="84"/>
      <c r="BT287" s="84"/>
      <c r="BY287" s="84"/>
      <c r="CC287" s="84"/>
      <c r="CG287" s="84"/>
      <c r="CK287" s="85"/>
      <c r="CL287" s="85"/>
      <c r="CM287" s="84"/>
      <c r="CO287" s="84"/>
      <c r="CT287" s="84"/>
      <c r="CY287" s="84"/>
      <c r="DC287" s="84"/>
      <c r="DG287" s="84"/>
      <c r="DK287" s="84"/>
      <c r="DO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5"/>
      <c r="AM288" s="84"/>
      <c r="AN288" s="84"/>
      <c r="AP288" s="84"/>
      <c r="AU288" s="84"/>
      <c r="AY288" s="86"/>
      <c r="BE288" s="84"/>
      <c r="BJ288" s="84"/>
      <c r="BO288" s="84"/>
      <c r="BT288" s="84"/>
      <c r="BY288" s="84"/>
      <c r="CC288" s="84"/>
      <c r="CG288" s="84"/>
      <c r="CK288" s="85"/>
      <c r="CL288" s="85"/>
      <c r="CM288" s="84"/>
      <c r="CO288" s="84"/>
      <c r="CT288" s="84"/>
      <c r="CY288" s="84"/>
      <c r="DC288" s="84"/>
      <c r="DG288" s="84"/>
      <c r="DK288" s="84"/>
      <c r="DO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5"/>
      <c r="AM289" s="84"/>
      <c r="AN289" s="84"/>
      <c r="AP289" s="84"/>
      <c r="AU289" s="84"/>
      <c r="AY289" s="86"/>
      <c r="BE289" s="84"/>
      <c r="BJ289" s="84"/>
      <c r="BO289" s="84"/>
      <c r="BT289" s="84"/>
      <c r="BY289" s="84"/>
      <c r="CC289" s="84"/>
      <c r="CG289" s="84"/>
      <c r="CK289" s="85"/>
      <c r="CL289" s="85"/>
      <c r="CM289" s="84"/>
      <c r="CO289" s="84"/>
      <c r="CT289" s="84"/>
      <c r="CY289" s="84"/>
      <c r="DC289" s="84"/>
      <c r="DG289" s="84"/>
      <c r="DK289" s="84"/>
      <c r="DO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5"/>
      <c r="AM290" s="84"/>
      <c r="AN290" s="84"/>
      <c r="AP290" s="84"/>
      <c r="AU290" s="84"/>
      <c r="AY290" s="86"/>
      <c r="BE290" s="84"/>
      <c r="BJ290" s="84"/>
      <c r="BO290" s="84"/>
      <c r="BT290" s="84"/>
      <c r="BY290" s="84"/>
      <c r="CC290" s="84"/>
      <c r="CG290" s="84"/>
      <c r="CK290" s="85"/>
      <c r="CL290" s="85"/>
      <c r="CM290" s="84"/>
      <c r="CO290" s="84"/>
      <c r="CT290" s="84"/>
      <c r="CY290" s="84"/>
      <c r="DC290" s="84"/>
      <c r="DG290" s="84"/>
      <c r="DK290" s="84"/>
      <c r="DO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5"/>
      <c r="AM291" s="84"/>
      <c r="AN291" s="84"/>
      <c r="AP291" s="84"/>
      <c r="AU291" s="84"/>
      <c r="AY291" s="86"/>
      <c r="BE291" s="84"/>
      <c r="BJ291" s="84"/>
      <c r="BO291" s="84"/>
      <c r="BT291" s="84"/>
      <c r="BY291" s="84"/>
      <c r="CC291" s="84"/>
      <c r="CG291" s="84"/>
      <c r="CK291" s="85"/>
      <c r="CL291" s="85"/>
      <c r="CM291" s="84"/>
      <c r="CO291" s="84"/>
      <c r="CT291" s="84"/>
      <c r="CY291" s="84"/>
      <c r="DC291" s="84"/>
      <c r="DG291" s="84"/>
      <c r="DK291" s="84"/>
      <c r="DO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5"/>
      <c r="AM292" s="84"/>
      <c r="AN292" s="84"/>
      <c r="AP292" s="84"/>
      <c r="AU292" s="84"/>
      <c r="AY292" s="86"/>
      <c r="BE292" s="84"/>
      <c r="BJ292" s="84"/>
      <c r="BO292" s="84"/>
      <c r="BT292" s="84"/>
      <c r="BY292" s="84"/>
      <c r="CC292" s="84"/>
      <c r="CG292" s="84"/>
      <c r="CK292" s="85"/>
      <c r="CL292" s="85"/>
      <c r="CM292" s="84"/>
      <c r="CO292" s="84"/>
      <c r="CT292" s="84"/>
      <c r="CY292" s="84"/>
      <c r="DC292" s="84"/>
      <c r="DG292" s="84"/>
      <c r="DK292" s="84"/>
      <c r="DO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5"/>
      <c r="AM293" s="84"/>
      <c r="AN293" s="84"/>
      <c r="AP293" s="84"/>
      <c r="AU293" s="84"/>
      <c r="AY293" s="86"/>
      <c r="BE293" s="84"/>
      <c r="BJ293" s="84"/>
      <c r="BO293" s="84"/>
      <c r="BT293" s="84"/>
      <c r="BY293" s="84"/>
      <c r="CC293" s="84"/>
      <c r="CG293" s="84"/>
      <c r="CK293" s="85"/>
      <c r="CL293" s="85"/>
      <c r="CM293" s="84"/>
      <c r="CO293" s="84"/>
      <c r="CT293" s="84"/>
      <c r="CY293" s="84"/>
      <c r="DC293" s="84"/>
      <c r="DG293" s="84"/>
      <c r="DK293" s="84"/>
      <c r="DO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5"/>
      <c r="AM294" s="84"/>
      <c r="AN294" s="84"/>
      <c r="AP294" s="84"/>
      <c r="AU294" s="84"/>
      <c r="AY294" s="86"/>
      <c r="BE294" s="84"/>
      <c r="BJ294" s="84"/>
      <c r="BO294" s="84"/>
      <c r="BT294" s="84"/>
      <c r="BY294" s="84"/>
      <c r="CC294" s="84"/>
      <c r="CG294" s="84"/>
      <c r="CK294" s="85"/>
      <c r="CL294" s="85"/>
      <c r="CM294" s="84"/>
      <c r="CO294" s="84"/>
      <c r="CT294" s="84"/>
      <c r="CY294" s="84"/>
      <c r="DC294" s="84"/>
      <c r="DG294" s="84"/>
      <c r="DK294" s="84"/>
      <c r="DO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5"/>
      <c r="AM295" s="84"/>
      <c r="AN295" s="84"/>
      <c r="AP295" s="84"/>
      <c r="AU295" s="84"/>
      <c r="AY295" s="86"/>
      <c r="BE295" s="84"/>
      <c r="BJ295" s="84"/>
      <c r="BO295" s="84"/>
      <c r="BT295" s="84"/>
      <c r="BY295" s="84"/>
      <c r="CC295" s="84"/>
      <c r="CG295" s="84"/>
      <c r="CK295" s="85"/>
      <c r="CL295" s="85"/>
      <c r="CM295" s="84"/>
      <c r="CO295" s="84"/>
      <c r="CT295" s="84"/>
      <c r="CY295" s="84"/>
      <c r="DC295" s="84"/>
      <c r="DG295" s="84"/>
      <c r="DK295" s="84"/>
      <c r="DO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5"/>
      <c r="AM296" s="84"/>
      <c r="AN296" s="84"/>
      <c r="AP296" s="84"/>
      <c r="AU296" s="84"/>
      <c r="AY296" s="86"/>
      <c r="BE296" s="84"/>
      <c r="BJ296" s="84"/>
      <c r="BO296" s="84"/>
      <c r="BT296" s="84"/>
      <c r="BY296" s="84"/>
      <c r="CC296" s="84"/>
      <c r="CG296" s="84"/>
      <c r="CK296" s="85"/>
      <c r="CL296" s="85"/>
      <c r="CM296" s="84"/>
      <c r="CO296" s="84"/>
      <c r="CT296" s="84"/>
      <c r="CY296" s="84"/>
      <c r="DC296" s="84"/>
      <c r="DG296" s="84"/>
      <c r="DK296" s="84"/>
      <c r="DO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5"/>
      <c r="AM297" s="84"/>
      <c r="AN297" s="84"/>
      <c r="AP297" s="84"/>
      <c r="AU297" s="84"/>
      <c r="AY297" s="86"/>
      <c r="BE297" s="84"/>
      <c r="BJ297" s="84"/>
      <c r="BO297" s="84"/>
      <c r="BT297" s="84"/>
      <c r="BY297" s="84"/>
      <c r="CC297" s="84"/>
      <c r="CG297" s="84"/>
      <c r="CK297" s="85"/>
      <c r="CL297" s="85"/>
      <c r="CM297" s="84"/>
      <c r="CO297" s="84"/>
      <c r="CT297" s="84"/>
      <c r="CY297" s="84"/>
      <c r="DC297" s="84"/>
      <c r="DG297" s="84"/>
      <c r="DK297" s="84"/>
      <c r="DO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5"/>
      <c r="AM298" s="84"/>
      <c r="AN298" s="84"/>
      <c r="AP298" s="84"/>
      <c r="AU298" s="84"/>
      <c r="AY298" s="86"/>
      <c r="BE298" s="84"/>
      <c r="BJ298" s="84"/>
      <c r="BO298" s="84"/>
      <c r="BT298" s="84"/>
      <c r="BY298" s="84"/>
      <c r="CC298" s="84"/>
      <c r="CG298" s="84"/>
      <c r="CK298" s="85"/>
      <c r="CL298" s="85"/>
      <c r="CM298" s="84"/>
      <c r="CO298" s="84"/>
      <c r="CT298" s="84"/>
      <c r="CY298" s="84"/>
      <c r="DC298" s="84"/>
      <c r="DG298" s="84"/>
      <c r="DK298" s="84"/>
      <c r="DO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5"/>
      <c r="AM299" s="84"/>
      <c r="AN299" s="84"/>
      <c r="AP299" s="84"/>
      <c r="AU299" s="84"/>
      <c r="AY299" s="86"/>
      <c r="BE299" s="84"/>
      <c r="BJ299" s="84"/>
      <c r="BO299" s="84"/>
      <c r="BT299" s="84"/>
      <c r="BY299" s="84"/>
      <c r="CC299" s="84"/>
      <c r="CG299" s="84"/>
      <c r="CK299" s="85"/>
      <c r="CL299" s="85"/>
      <c r="CM299" s="84"/>
      <c r="CO299" s="84"/>
      <c r="CT299" s="84"/>
      <c r="CY299" s="84"/>
      <c r="DC299" s="84"/>
      <c r="DG299" s="84"/>
      <c r="DK299" s="84"/>
      <c r="DO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5"/>
      <c r="AM300" s="84"/>
      <c r="AN300" s="84"/>
      <c r="AP300" s="84"/>
      <c r="AU300" s="84"/>
      <c r="AY300" s="86"/>
      <c r="BE300" s="84"/>
      <c r="BJ300" s="84"/>
      <c r="BO300" s="84"/>
      <c r="BT300" s="84"/>
      <c r="BY300" s="84"/>
      <c r="CC300" s="84"/>
      <c r="CG300" s="84"/>
      <c r="CK300" s="85"/>
      <c r="CL300" s="85"/>
      <c r="CM300" s="84"/>
      <c r="CO300" s="84"/>
      <c r="CT300" s="84"/>
      <c r="CY300" s="84"/>
      <c r="DC300" s="84"/>
      <c r="DG300" s="84"/>
      <c r="DK300" s="84"/>
      <c r="DO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5"/>
      <c r="AM301" s="84"/>
      <c r="AN301" s="84"/>
      <c r="AP301" s="84"/>
      <c r="AU301" s="84"/>
      <c r="AY301" s="86"/>
      <c r="BE301" s="84"/>
      <c r="BJ301" s="84"/>
      <c r="BO301" s="84"/>
      <c r="BT301" s="84"/>
      <c r="BY301" s="84"/>
      <c r="CC301" s="84"/>
      <c r="CG301" s="84"/>
      <c r="CK301" s="85"/>
      <c r="CL301" s="85"/>
      <c r="CM301" s="84"/>
      <c r="CO301" s="84"/>
      <c r="CT301" s="84"/>
      <c r="CY301" s="84"/>
      <c r="DC301" s="84"/>
      <c r="DG301" s="84"/>
      <c r="DK301" s="84"/>
      <c r="DO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5"/>
      <c r="AM302" s="84"/>
      <c r="AN302" s="84"/>
      <c r="AP302" s="84"/>
      <c r="AU302" s="84"/>
      <c r="AY302" s="86"/>
      <c r="BE302" s="84"/>
      <c r="BJ302" s="84"/>
      <c r="BO302" s="84"/>
      <c r="BT302" s="84"/>
      <c r="BY302" s="84"/>
      <c r="CC302" s="84"/>
      <c r="CG302" s="84"/>
      <c r="CK302" s="85"/>
      <c r="CL302" s="85"/>
      <c r="CM302" s="84"/>
      <c r="CO302" s="84"/>
      <c r="CT302" s="84"/>
      <c r="CY302" s="84"/>
      <c r="DC302" s="84"/>
      <c r="DG302" s="84"/>
      <c r="DK302" s="84"/>
      <c r="DO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5"/>
      <c r="AM303" s="84"/>
      <c r="AN303" s="84"/>
      <c r="AP303" s="84"/>
      <c r="AU303" s="84"/>
      <c r="AY303" s="86"/>
      <c r="BE303" s="84"/>
      <c r="BJ303" s="84"/>
      <c r="BO303" s="84"/>
      <c r="BT303" s="84"/>
      <c r="BY303" s="84"/>
      <c r="CC303" s="84"/>
      <c r="CG303" s="84"/>
      <c r="CK303" s="85"/>
      <c r="CL303" s="85"/>
      <c r="CM303" s="84"/>
      <c r="CO303" s="84"/>
      <c r="CT303" s="84"/>
      <c r="CY303" s="84"/>
      <c r="DC303" s="84"/>
      <c r="DG303" s="84"/>
      <c r="DK303" s="84"/>
      <c r="DO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5"/>
      <c r="AM304" s="84"/>
      <c r="AN304" s="84"/>
      <c r="AP304" s="84"/>
      <c r="AU304" s="84"/>
      <c r="AY304" s="86"/>
      <c r="BE304" s="84"/>
      <c r="BJ304" s="84"/>
      <c r="BO304" s="84"/>
      <c r="BT304" s="84"/>
      <c r="BY304" s="84"/>
      <c r="CC304" s="84"/>
      <c r="CG304" s="84"/>
      <c r="CK304" s="85"/>
      <c r="CL304" s="85"/>
      <c r="CM304" s="84"/>
      <c r="CO304" s="84"/>
      <c r="CT304" s="84"/>
      <c r="CY304" s="84"/>
      <c r="DC304" s="84"/>
      <c r="DG304" s="84"/>
      <c r="DK304" s="84"/>
      <c r="DO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5"/>
      <c r="AM305" s="84"/>
      <c r="AN305" s="84"/>
      <c r="AP305" s="84"/>
      <c r="AU305" s="84"/>
      <c r="AY305" s="86"/>
      <c r="BE305" s="84"/>
      <c r="BJ305" s="84"/>
      <c r="BO305" s="84"/>
      <c r="BT305" s="84"/>
      <c r="BY305" s="84"/>
      <c r="CC305" s="84"/>
      <c r="CG305" s="84"/>
      <c r="CK305" s="85"/>
      <c r="CL305" s="85"/>
      <c r="CM305" s="84"/>
      <c r="CO305" s="84"/>
      <c r="CT305" s="84"/>
      <c r="CY305" s="84"/>
      <c r="DC305" s="84"/>
      <c r="DG305" s="84"/>
      <c r="DK305" s="84"/>
      <c r="DO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5"/>
      <c r="AM306" s="84"/>
      <c r="AN306" s="84"/>
      <c r="AP306" s="84"/>
      <c r="AU306" s="84"/>
      <c r="AY306" s="86"/>
      <c r="BE306" s="84"/>
      <c r="BJ306" s="84"/>
      <c r="BO306" s="84"/>
      <c r="BT306" s="84"/>
      <c r="BY306" s="84"/>
      <c r="CC306" s="84"/>
      <c r="CG306" s="84"/>
      <c r="CK306" s="85"/>
      <c r="CL306" s="85"/>
      <c r="CM306" s="84"/>
      <c r="CO306" s="84"/>
      <c r="CT306" s="84"/>
      <c r="CY306" s="84"/>
      <c r="DC306" s="84"/>
      <c r="DG306" s="84"/>
      <c r="DK306" s="84"/>
      <c r="DO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5"/>
      <c r="AM307" s="84"/>
      <c r="AN307" s="84"/>
      <c r="AP307" s="84"/>
      <c r="AU307" s="84"/>
      <c r="AY307" s="86"/>
      <c r="BE307" s="84"/>
      <c r="BJ307" s="84"/>
      <c r="BO307" s="84"/>
      <c r="BT307" s="84"/>
      <c r="BY307" s="84"/>
      <c r="CC307" s="84"/>
      <c r="CG307" s="84"/>
      <c r="CK307" s="85"/>
      <c r="CL307" s="85"/>
      <c r="CM307" s="84"/>
      <c r="CO307" s="84"/>
      <c r="CT307" s="84"/>
      <c r="CY307" s="84"/>
      <c r="DC307" s="84"/>
      <c r="DG307" s="84"/>
      <c r="DK307" s="84"/>
      <c r="DO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5"/>
      <c r="AM308" s="84"/>
      <c r="AN308" s="84"/>
      <c r="AP308" s="84"/>
      <c r="AU308" s="84"/>
      <c r="AY308" s="86"/>
      <c r="BE308" s="84"/>
      <c r="BJ308" s="84"/>
      <c r="BO308" s="84"/>
      <c r="BT308" s="84"/>
      <c r="BY308" s="84"/>
      <c r="CC308" s="84"/>
      <c r="CG308" s="84"/>
      <c r="CK308" s="85"/>
      <c r="CL308" s="85"/>
      <c r="CM308" s="84"/>
      <c r="CO308" s="84"/>
      <c r="CT308" s="84"/>
      <c r="CY308" s="84"/>
      <c r="DC308" s="84"/>
      <c r="DG308" s="84"/>
      <c r="DK308" s="84"/>
      <c r="DO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5"/>
      <c r="AM309" s="84"/>
      <c r="AN309" s="84"/>
      <c r="AP309" s="84"/>
      <c r="AU309" s="84"/>
      <c r="AY309" s="86"/>
      <c r="BE309" s="84"/>
      <c r="BJ309" s="84"/>
      <c r="BO309" s="84"/>
      <c r="BT309" s="84"/>
      <c r="BY309" s="84"/>
      <c r="CC309" s="84"/>
      <c r="CG309" s="84"/>
      <c r="CK309" s="85"/>
      <c r="CL309" s="85"/>
      <c r="CM309" s="84"/>
      <c r="CO309" s="84"/>
      <c r="CT309" s="84"/>
      <c r="CY309" s="84"/>
      <c r="DC309" s="84"/>
      <c r="DG309" s="84"/>
      <c r="DK309" s="84"/>
      <c r="DO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5"/>
      <c r="AM310" s="84"/>
      <c r="AN310" s="84"/>
      <c r="AP310" s="84"/>
      <c r="AU310" s="84"/>
      <c r="AY310" s="86"/>
      <c r="BE310" s="84"/>
      <c r="BJ310" s="84"/>
      <c r="BO310" s="84"/>
      <c r="BT310" s="84"/>
      <c r="BY310" s="84"/>
      <c r="CC310" s="84"/>
      <c r="CG310" s="84"/>
      <c r="CK310" s="85"/>
      <c r="CL310" s="85"/>
      <c r="CM310" s="84"/>
      <c r="CO310" s="84"/>
      <c r="CT310" s="84"/>
      <c r="CY310" s="84"/>
      <c r="DC310" s="84"/>
      <c r="DG310" s="84"/>
      <c r="DK310" s="84"/>
      <c r="DO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5"/>
      <c r="AM311" s="84"/>
      <c r="AN311" s="84"/>
      <c r="AP311" s="84"/>
      <c r="AU311" s="84"/>
      <c r="AY311" s="86"/>
      <c r="BE311" s="84"/>
      <c r="BJ311" s="84"/>
      <c r="BO311" s="84"/>
      <c r="BT311" s="84"/>
      <c r="BY311" s="84"/>
      <c r="CC311" s="84"/>
      <c r="CG311" s="84"/>
      <c r="CK311" s="85"/>
      <c r="CL311" s="85"/>
      <c r="CM311" s="84"/>
      <c r="CO311" s="84"/>
      <c r="CT311" s="84"/>
      <c r="CY311" s="84"/>
      <c r="DC311" s="84"/>
      <c r="DG311" s="84"/>
      <c r="DK311" s="84"/>
      <c r="DO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5"/>
      <c r="AM312" s="84"/>
      <c r="AN312" s="84"/>
      <c r="AP312" s="84"/>
      <c r="AU312" s="84"/>
      <c r="AY312" s="86"/>
      <c r="BE312" s="84"/>
      <c r="BJ312" s="84"/>
      <c r="BO312" s="84"/>
      <c r="BT312" s="84"/>
      <c r="BY312" s="84"/>
      <c r="CC312" s="84"/>
      <c r="CG312" s="84"/>
      <c r="CK312" s="85"/>
      <c r="CL312" s="85"/>
      <c r="CM312" s="84"/>
      <c r="CO312" s="84"/>
      <c r="CT312" s="84"/>
      <c r="CY312" s="84"/>
      <c r="DC312" s="84"/>
      <c r="DG312" s="84"/>
      <c r="DK312" s="84"/>
      <c r="DO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5"/>
      <c r="AM313" s="84"/>
      <c r="AN313" s="84"/>
      <c r="AP313" s="84"/>
      <c r="AU313" s="84"/>
      <c r="AY313" s="86"/>
      <c r="BE313" s="84"/>
      <c r="BJ313" s="84"/>
      <c r="BO313" s="84"/>
      <c r="BT313" s="84"/>
      <c r="BY313" s="84"/>
      <c r="CC313" s="84"/>
      <c r="CG313" s="84"/>
      <c r="CK313" s="85"/>
      <c r="CL313" s="85"/>
      <c r="CM313" s="84"/>
      <c r="CO313" s="84"/>
      <c r="CT313" s="84"/>
      <c r="CY313" s="84"/>
      <c r="DC313" s="84"/>
      <c r="DG313" s="84"/>
      <c r="DK313" s="84"/>
      <c r="DO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5"/>
      <c r="AM314" s="84"/>
      <c r="AN314" s="84"/>
      <c r="AP314" s="84"/>
      <c r="AU314" s="84"/>
      <c r="AY314" s="86"/>
      <c r="BE314" s="84"/>
      <c r="BJ314" s="84"/>
      <c r="BO314" s="84"/>
      <c r="BT314" s="84"/>
      <c r="BY314" s="84"/>
      <c r="CC314" s="84"/>
      <c r="CG314" s="84"/>
      <c r="CK314" s="85"/>
      <c r="CL314" s="85"/>
      <c r="CM314" s="84"/>
      <c r="CO314" s="84"/>
      <c r="CT314" s="84"/>
      <c r="CY314" s="84"/>
      <c r="DC314" s="84"/>
      <c r="DG314" s="84"/>
      <c r="DK314" s="84"/>
      <c r="DO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5"/>
      <c r="AM315" s="84"/>
      <c r="AN315" s="84"/>
      <c r="AP315" s="84"/>
      <c r="AU315" s="84"/>
      <c r="AY315" s="86"/>
      <c r="BE315" s="84"/>
      <c r="BJ315" s="84"/>
      <c r="BO315" s="84"/>
      <c r="BT315" s="84"/>
      <c r="BY315" s="84"/>
      <c r="CC315" s="84"/>
      <c r="CG315" s="84"/>
      <c r="CK315" s="85"/>
      <c r="CL315" s="85"/>
      <c r="CM315" s="84"/>
      <c r="CO315" s="84"/>
      <c r="CT315" s="84"/>
      <c r="CY315" s="84"/>
      <c r="DC315" s="84"/>
      <c r="DG315" s="84"/>
      <c r="DK315" s="84"/>
      <c r="DO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5"/>
      <c r="AM316" s="84"/>
      <c r="AN316" s="84"/>
      <c r="AP316" s="84"/>
      <c r="AU316" s="84"/>
      <c r="AY316" s="86"/>
      <c r="BE316" s="84"/>
      <c r="BJ316" s="84"/>
      <c r="BO316" s="84"/>
      <c r="BT316" s="84"/>
      <c r="BY316" s="84"/>
      <c r="CC316" s="84"/>
      <c r="CG316" s="84"/>
      <c r="CK316" s="85"/>
      <c r="CL316" s="85"/>
      <c r="CM316" s="84"/>
      <c r="CO316" s="84"/>
      <c r="CT316" s="84"/>
      <c r="CY316" s="84"/>
      <c r="DC316" s="84"/>
      <c r="DG316" s="84"/>
      <c r="DK316" s="84"/>
      <c r="DO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5"/>
      <c r="AM317" s="84"/>
      <c r="AN317" s="84"/>
      <c r="AP317" s="84"/>
      <c r="AU317" s="84"/>
      <c r="AY317" s="86"/>
      <c r="BE317" s="84"/>
      <c r="BJ317" s="84"/>
      <c r="BO317" s="84"/>
      <c r="BT317" s="84"/>
      <c r="BY317" s="84"/>
      <c r="CC317" s="84"/>
      <c r="CG317" s="84"/>
      <c r="CK317" s="85"/>
      <c r="CL317" s="85"/>
      <c r="CM317" s="84"/>
      <c r="CO317" s="84"/>
      <c r="CT317" s="84"/>
      <c r="CY317" s="84"/>
      <c r="DC317" s="84"/>
      <c r="DG317" s="84"/>
      <c r="DK317" s="84"/>
      <c r="DO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5"/>
      <c r="AM318" s="84"/>
      <c r="AN318" s="84"/>
      <c r="AP318" s="84"/>
      <c r="AU318" s="84"/>
      <c r="AY318" s="86"/>
      <c r="BE318" s="84"/>
      <c r="BJ318" s="84"/>
      <c r="BO318" s="84"/>
      <c r="BT318" s="84"/>
      <c r="BY318" s="84"/>
      <c r="CC318" s="84"/>
      <c r="CG318" s="84"/>
      <c r="CK318" s="85"/>
      <c r="CL318" s="85"/>
      <c r="CM318" s="84"/>
      <c r="CO318" s="84"/>
      <c r="CT318" s="84"/>
      <c r="CY318" s="84"/>
      <c r="DC318" s="84"/>
      <c r="DG318" s="84"/>
      <c r="DK318" s="84"/>
      <c r="DO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5"/>
      <c r="AM319" s="84"/>
      <c r="AN319" s="84"/>
      <c r="AP319" s="84"/>
      <c r="AU319" s="84"/>
      <c r="AY319" s="86"/>
      <c r="BE319" s="84"/>
      <c r="BJ319" s="84"/>
      <c r="BO319" s="84"/>
      <c r="BT319" s="84"/>
      <c r="BY319" s="84"/>
      <c r="CC319" s="84"/>
      <c r="CG319" s="84"/>
      <c r="CK319" s="85"/>
      <c r="CL319" s="85"/>
      <c r="CM319" s="84"/>
      <c r="CO319" s="84"/>
      <c r="CT319" s="84"/>
      <c r="CY319" s="84"/>
      <c r="DC319" s="84"/>
      <c r="DG319" s="84"/>
      <c r="DK319" s="84"/>
      <c r="DO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5"/>
      <c r="AM320" s="84"/>
      <c r="AN320" s="84"/>
      <c r="AP320" s="84"/>
      <c r="AU320" s="84"/>
      <c r="AY320" s="86"/>
      <c r="BE320" s="84"/>
      <c r="BJ320" s="84"/>
      <c r="BO320" s="84"/>
      <c r="BT320" s="84"/>
      <c r="BY320" s="84"/>
      <c r="CC320" s="84"/>
      <c r="CG320" s="84"/>
      <c r="CK320" s="85"/>
      <c r="CL320" s="85"/>
      <c r="CM320" s="84"/>
      <c r="CO320" s="84"/>
      <c r="CT320" s="84"/>
      <c r="CY320" s="84"/>
      <c r="DC320" s="84"/>
      <c r="DG320" s="84"/>
      <c r="DK320" s="84"/>
      <c r="DO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5"/>
      <c r="AM321" s="84"/>
      <c r="AN321" s="84"/>
      <c r="AP321" s="84"/>
      <c r="AU321" s="84"/>
      <c r="AY321" s="86"/>
      <c r="BE321" s="84"/>
      <c r="BJ321" s="84"/>
      <c r="BO321" s="84"/>
      <c r="BT321" s="84"/>
      <c r="BY321" s="84"/>
      <c r="CC321" s="84"/>
      <c r="CG321" s="84"/>
      <c r="CK321" s="85"/>
      <c r="CL321" s="85"/>
      <c r="CM321" s="84"/>
      <c r="CO321" s="84"/>
      <c r="CT321" s="84"/>
      <c r="CY321" s="84"/>
      <c r="DC321" s="84"/>
      <c r="DG321" s="84"/>
      <c r="DK321" s="84"/>
      <c r="DO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5"/>
      <c r="AM322" s="84"/>
      <c r="AN322" s="84"/>
      <c r="AP322" s="84"/>
      <c r="AU322" s="84"/>
      <c r="AY322" s="86"/>
      <c r="BE322" s="84"/>
      <c r="BJ322" s="84"/>
      <c r="BO322" s="84"/>
      <c r="BT322" s="84"/>
      <c r="BY322" s="84"/>
      <c r="CC322" s="84"/>
      <c r="CG322" s="84"/>
      <c r="CK322" s="85"/>
      <c r="CL322" s="85"/>
      <c r="CM322" s="84"/>
      <c r="CO322" s="84"/>
      <c r="CT322" s="84"/>
      <c r="CY322" s="84"/>
      <c r="DC322" s="84"/>
      <c r="DG322" s="84"/>
      <c r="DK322" s="84"/>
      <c r="DO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5"/>
      <c r="AM323" s="84"/>
      <c r="AN323" s="84"/>
      <c r="AP323" s="84"/>
      <c r="AU323" s="84"/>
      <c r="AY323" s="86"/>
      <c r="BE323" s="84"/>
      <c r="BJ323" s="84"/>
      <c r="BO323" s="84"/>
      <c r="BT323" s="84"/>
      <c r="BY323" s="84"/>
      <c r="CC323" s="84"/>
      <c r="CG323" s="84"/>
      <c r="CK323" s="85"/>
      <c r="CL323" s="85"/>
      <c r="CM323" s="84"/>
      <c r="CO323" s="84"/>
      <c r="CT323" s="84"/>
      <c r="CY323" s="84"/>
      <c r="DC323" s="84"/>
      <c r="DG323" s="84"/>
      <c r="DK323" s="84"/>
      <c r="DO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5"/>
      <c r="AM324" s="84"/>
      <c r="AN324" s="84"/>
      <c r="AP324" s="84"/>
      <c r="AU324" s="84"/>
      <c r="AY324" s="86"/>
      <c r="BE324" s="84"/>
      <c r="BJ324" s="84"/>
      <c r="BO324" s="84"/>
      <c r="BT324" s="84"/>
      <c r="BY324" s="84"/>
      <c r="CC324" s="84"/>
      <c r="CG324" s="84"/>
      <c r="CK324" s="85"/>
      <c r="CL324" s="85"/>
      <c r="CM324" s="84"/>
      <c r="CO324" s="84"/>
      <c r="CT324" s="84"/>
      <c r="CY324" s="84"/>
      <c r="DC324" s="84"/>
      <c r="DG324" s="84"/>
      <c r="DK324" s="84"/>
      <c r="DO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5"/>
      <c r="AM325" s="84"/>
      <c r="AN325" s="84"/>
      <c r="AP325" s="84"/>
      <c r="AU325" s="84"/>
      <c r="AY325" s="86"/>
      <c r="BE325" s="84"/>
      <c r="BJ325" s="84"/>
      <c r="BO325" s="84"/>
      <c r="BT325" s="84"/>
      <c r="BY325" s="84"/>
      <c r="CC325" s="84"/>
      <c r="CG325" s="84"/>
      <c r="CK325" s="85"/>
      <c r="CL325" s="85"/>
      <c r="CM325" s="84"/>
      <c r="CO325" s="84"/>
      <c r="CT325" s="84"/>
      <c r="CY325" s="84"/>
      <c r="DC325" s="84"/>
      <c r="DG325" s="84"/>
      <c r="DK325" s="84"/>
      <c r="DO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5"/>
      <c r="AM326" s="84"/>
      <c r="AN326" s="84"/>
      <c r="AP326" s="84"/>
      <c r="AU326" s="84"/>
      <c r="AY326" s="86"/>
      <c r="BE326" s="84"/>
      <c r="BJ326" s="84"/>
      <c r="BO326" s="84"/>
      <c r="BT326" s="84"/>
      <c r="BY326" s="84"/>
      <c r="CC326" s="84"/>
      <c r="CG326" s="84"/>
      <c r="CK326" s="85"/>
      <c r="CL326" s="85"/>
      <c r="CM326" s="84"/>
      <c r="CO326" s="84"/>
      <c r="CT326" s="84"/>
      <c r="CY326" s="84"/>
      <c r="DC326" s="84"/>
      <c r="DG326" s="84"/>
      <c r="DK326" s="84"/>
      <c r="DO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5"/>
      <c r="AM327" s="84"/>
      <c r="AN327" s="84"/>
      <c r="AP327" s="84"/>
      <c r="AU327" s="84"/>
      <c r="AY327" s="86"/>
      <c r="BE327" s="84"/>
      <c r="BJ327" s="84"/>
      <c r="BO327" s="84"/>
      <c r="BT327" s="84"/>
      <c r="BY327" s="84"/>
      <c r="CC327" s="84"/>
      <c r="CG327" s="84"/>
      <c r="CK327" s="85"/>
      <c r="CL327" s="85"/>
      <c r="CM327" s="84"/>
      <c r="CO327" s="84"/>
      <c r="CT327" s="84"/>
      <c r="CY327" s="84"/>
      <c r="DC327" s="84"/>
      <c r="DG327" s="84"/>
      <c r="DK327" s="84"/>
      <c r="DO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5"/>
      <c r="AM328" s="84"/>
      <c r="AN328" s="84"/>
      <c r="AP328" s="84"/>
      <c r="AU328" s="84"/>
      <c r="AY328" s="86"/>
      <c r="BE328" s="84"/>
      <c r="BJ328" s="84"/>
      <c r="BO328" s="84"/>
      <c r="BT328" s="84"/>
      <c r="BY328" s="84"/>
      <c r="CC328" s="84"/>
      <c r="CG328" s="84"/>
      <c r="CK328" s="85"/>
      <c r="CL328" s="85"/>
      <c r="CM328" s="84"/>
      <c r="CO328" s="84"/>
      <c r="CT328" s="84"/>
      <c r="CY328" s="84"/>
      <c r="DC328" s="84"/>
      <c r="DG328" s="84"/>
      <c r="DK328" s="84"/>
      <c r="DO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5"/>
      <c r="AM329" s="84"/>
      <c r="AN329" s="84"/>
      <c r="AP329" s="84"/>
      <c r="AU329" s="84"/>
      <c r="AY329" s="86"/>
      <c r="BE329" s="84"/>
      <c r="BJ329" s="84"/>
      <c r="BO329" s="84"/>
      <c r="BT329" s="84"/>
      <c r="BY329" s="84"/>
      <c r="CC329" s="84"/>
      <c r="CG329" s="84"/>
      <c r="CK329" s="85"/>
      <c r="CL329" s="85"/>
      <c r="CM329" s="84"/>
      <c r="CO329" s="84"/>
      <c r="CT329" s="84"/>
      <c r="CY329" s="84"/>
      <c r="DC329" s="84"/>
      <c r="DG329" s="84"/>
      <c r="DK329" s="84"/>
      <c r="DO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5"/>
      <c r="AM330" s="84"/>
      <c r="AN330" s="84"/>
      <c r="AP330" s="84"/>
      <c r="AU330" s="84"/>
      <c r="AY330" s="86"/>
      <c r="BE330" s="84"/>
      <c r="BJ330" s="84"/>
      <c r="BO330" s="84"/>
      <c r="BT330" s="84"/>
      <c r="BY330" s="84"/>
      <c r="CC330" s="84"/>
      <c r="CG330" s="84"/>
      <c r="CK330" s="85"/>
      <c r="CL330" s="85"/>
      <c r="CM330" s="84"/>
      <c r="CO330" s="84"/>
      <c r="CT330" s="84"/>
      <c r="CY330" s="84"/>
      <c r="DC330" s="84"/>
      <c r="DG330" s="84"/>
      <c r="DK330" s="84"/>
      <c r="DO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5"/>
      <c r="AM331" s="84"/>
      <c r="AN331" s="84"/>
      <c r="AP331" s="84"/>
      <c r="AU331" s="84"/>
      <c r="AY331" s="86"/>
      <c r="BE331" s="84"/>
      <c r="BJ331" s="84"/>
      <c r="BO331" s="84"/>
      <c r="BT331" s="84"/>
      <c r="BY331" s="84"/>
      <c r="CC331" s="84"/>
      <c r="CG331" s="84"/>
      <c r="CK331" s="85"/>
      <c r="CL331" s="85"/>
      <c r="CM331" s="84"/>
      <c r="CO331" s="84"/>
      <c r="CT331" s="84"/>
      <c r="CY331" s="84"/>
      <c r="DC331" s="84"/>
      <c r="DG331" s="84"/>
      <c r="DK331" s="84"/>
      <c r="DO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5"/>
      <c r="AM332" s="84"/>
      <c r="AN332" s="84"/>
      <c r="AP332" s="84"/>
      <c r="AU332" s="84"/>
      <c r="AY332" s="86"/>
      <c r="BE332" s="84"/>
      <c r="BJ332" s="84"/>
      <c r="BO332" s="84"/>
      <c r="BT332" s="84"/>
      <c r="BY332" s="84"/>
      <c r="CC332" s="84"/>
      <c r="CG332" s="84"/>
      <c r="CK332" s="85"/>
      <c r="CL332" s="85"/>
      <c r="CM332" s="84"/>
      <c r="CO332" s="84"/>
      <c r="CT332" s="84"/>
      <c r="CY332" s="84"/>
      <c r="DC332" s="84"/>
      <c r="DG332" s="84"/>
      <c r="DK332" s="84"/>
      <c r="DO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5"/>
      <c r="AM333" s="84"/>
      <c r="AN333" s="84"/>
      <c r="AP333" s="84"/>
      <c r="AU333" s="84"/>
      <c r="AY333" s="86"/>
      <c r="BE333" s="84"/>
      <c r="BJ333" s="84"/>
      <c r="BO333" s="84"/>
      <c r="BT333" s="84"/>
      <c r="BY333" s="84"/>
      <c r="CC333" s="84"/>
      <c r="CG333" s="84"/>
      <c r="CK333" s="85"/>
      <c r="CL333" s="85"/>
      <c r="CM333" s="84"/>
      <c r="CO333" s="84"/>
      <c r="CT333" s="84"/>
      <c r="CY333" s="84"/>
      <c r="DC333" s="84"/>
      <c r="DG333" s="84"/>
      <c r="DK333" s="84"/>
      <c r="DO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5"/>
      <c r="AM334" s="84"/>
      <c r="AN334" s="84"/>
      <c r="AP334" s="84"/>
      <c r="AU334" s="84"/>
      <c r="AY334" s="86"/>
      <c r="BE334" s="84"/>
      <c r="BJ334" s="84"/>
      <c r="BO334" s="84"/>
      <c r="BT334" s="84"/>
      <c r="BY334" s="84"/>
      <c r="CC334" s="84"/>
      <c r="CG334" s="84"/>
      <c r="CK334" s="85"/>
      <c r="CL334" s="85"/>
      <c r="CM334" s="84"/>
      <c r="CO334" s="84"/>
      <c r="CT334" s="84"/>
      <c r="CY334" s="84"/>
      <c r="DC334" s="84"/>
      <c r="DG334" s="84"/>
      <c r="DK334" s="84"/>
      <c r="DO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5"/>
      <c r="AM335" s="84"/>
      <c r="AN335" s="84"/>
      <c r="AP335" s="84"/>
      <c r="AU335" s="84"/>
      <c r="AY335" s="86"/>
      <c r="BE335" s="84"/>
      <c r="BJ335" s="84"/>
      <c r="BO335" s="84"/>
      <c r="BT335" s="84"/>
      <c r="BY335" s="84"/>
      <c r="CC335" s="84"/>
      <c r="CG335" s="84"/>
      <c r="CK335" s="85"/>
      <c r="CL335" s="85"/>
      <c r="CM335" s="84"/>
      <c r="CO335" s="84"/>
      <c r="CT335" s="84"/>
      <c r="CY335" s="84"/>
      <c r="DC335" s="84"/>
      <c r="DG335" s="84"/>
      <c r="DK335" s="84"/>
      <c r="DO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5"/>
      <c r="AM336" s="84"/>
      <c r="AN336" s="84"/>
      <c r="AP336" s="84"/>
      <c r="AU336" s="84"/>
      <c r="AY336" s="86"/>
      <c r="BE336" s="84"/>
      <c r="BJ336" s="84"/>
      <c r="BO336" s="84"/>
      <c r="BT336" s="84"/>
      <c r="BY336" s="84"/>
      <c r="CC336" s="84"/>
      <c r="CG336" s="84"/>
      <c r="CK336" s="85"/>
      <c r="CL336" s="85"/>
      <c r="CM336" s="84"/>
      <c r="CO336" s="84"/>
      <c r="CT336" s="84"/>
      <c r="CY336" s="84"/>
      <c r="DC336" s="84"/>
      <c r="DG336" s="84"/>
      <c r="DK336" s="84"/>
      <c r="DO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5"/>
      <c r="AM337" s="84"/>
      <c r="AN337" s="84"/>
      <c r="AP337" s="84"/>
      <c r="AU337" s="84"/>
      <c r="AY337" s="86"/>
      <c r="BE337" s="84"/>
      <c r="BJ337" s="84"/>
      <c r="BO337" s="84"/>
      <c r="BT337" s="84"/>
      <c r="BY337" s="84"/>
      <c r="CC337" s="84"/>
      <c r="CG337" s="84"/>
      <c r="CK337" s="85"/>
      <c r="CL337" s="85"/>
      <c r="CM337" s="84"/>
      <c r="CO337" s="84"/>
      <c r="CT337" s="84"/>
      <c r="CY337" s="84"/>
      <c r="DC337" s="84"/>
      <c r="DG337" s="84"/>
      <c r="DK337" s="84"/>
      <c r="DO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5"/>
      <c r="AM338" s="84"/>
      <c r="AN338" s="84"/>
      <c r="AP338" s="84"/>
      <c r="AU338" s="84"/>
      <c r="AY338" s="86"/>
      <c r="BE338" s="84"/>
      <c r="BJ338" s="84"/>
      <c r="BO338" s="84"/>
      <c r="BT338" s="84"/>
      <c r="BY338" s="84"/>
      <c r="CC338" s="84"/>
      <c r="CG338" s="84"/>
      <c r="CK338" s="85"/>
      <c r="CL338" s="85"/>
      <c r="CM338" s="84"/>
      <c r="CO338" s="84"/>
      <c r="CT338" s="84"/>
      <c r="CY338" s="84"/>
      <c r="DC338" s="84"/>
      <c r="DG338" s="84"/>
      <c r="DK338" s="84"/>
      <c r="DO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5"/>
      <c r="AM339" s="84"/>
      <c r="AN339" s="84"/>
      <c r="AP339" s="84"/>
      <c r="AU339" s="84"/>
      <c r="AY339" s="86"/>
      <c r="BE339" s="84"/>
      <c r="BJ339" s="84"/>
      <c r="BO339" s="84"/>
      <c r="BT339" s="84"/>
      <c r="BY339" s="84"/>
      <c r="CC339" s="84"/>
      <c r="CG339" s="84"/>
      <c r="CK339" s="85"/>
      <c r="CL339" s="85"/>
      <c r="CM339" s="84"/>
      <c r="CO339" s="84"/>
      <c r="CT339" s="84"/>
      <c r="CY339" s="84"/>
      <c r="DC339" s="84"/>
      <c r="DG339" s="84"/>
      <c r="DK339" s="84"/>
      <c r="DO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5"/>
      <c r="AM340" s="84"/>
      <c r="AN340" s="84"/>
      <c r="AP340" s="84"/>
      <c r="AU340" s="84"/>
      <c r="AY340" s="86"/>
      <c r="BE340" s="84"/>
      <c r="BJ340" s="84"/>
      <c r="BO340" s="84"/>
      <c r="BT340" s="84"/>
      <c r="BY340" s="84"/>
      <c r="CC340" s="84"/>
      <c r="CG340" s="84"/>
      <c r="CK340" s="85"/>
      <c r="CL340" s="85"/>
      <c r="CM340" s="84"/>
      <c r="CO340" s="84"/>
      <c r="CT340" s="84"/>
      <c r="CY340" s="84"/>
      <c r="DC340" s="84"/>
      <c r="DG340" s="84"/>
      <c r="DK340" s="84"/>
      <c r="DO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5"/>
      <c r="AM341" s="84"/>
      <c r="AN341" s="84"/>
      <c r="AP341" s="84"/>
      <c r="AU341" s="84"/>
      <c r="AY341" s="86"/>
      <c r="BE341" s="84"/>
      <c r="BJ341" s="84"/>
      <c r="BO341" s="84"/>
      <c r="BT341" s="84"/>
      <c r="BY341" s="84"/>
      <c r="CC341" s="84"/>
      <c r="CG341" s="84"/>
      <c r="CK341" s="85"/>
      <c r="CL341" s="85"/>
      <c r="CM341" s="84"/>
      <c r="CO341" s="84"/>
      <c r="CT341" s="84"/>
      <c r="CY341" s="84"/>
      <c r="DC341" s="84"/>
      <c r="DG341" s="84"/>
      <c r="DK341" s="84"/>
      <c r="DO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5"/>
      <c r="AM342" s="84"/>
      <c r="AN342" s="84"/>
      <c r="AP342" s="84"/>
      <c r="AU342" s="84"/>
      <c r="AY342" s="86"/>
      <c r="BE342" s="84"/>
      <c r="BJ342" s="84"/>
      <c r="BO342" s="84"/>
      <c r="BT342" s="84"/>
      <c r="BY342" s="84"/>
      <c r="CC342" s="84"/>
      <c r="CG342" s="84"/>
      <c r="CK342" s="85"/>
      <c r="CL342" s="85"/>
      <c r="CM342" s="84"/>
      <c r="CO342" s="84"/>
      <c r="CT342" s="84"/>
      <c r="CY342" s="84"/>
      <c r="DC342" s="84"/>
      <c r="DG342" s="84"/>
      <c r="DK342" s="84"/>
      <c r="DO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5"/>
      <c r="AM343" s="84"/>
      <c r="AN343" s="84"/>
      <c r="AP343" s="84"/>
      <c r="AU343" s="84"/>
      <c r="AY343" s="86"/>
      <c r="BE343" s="84"/>
      <c r="BJ343" s="84"/>
      <c r="BO343" s="84"/>
      <c r="BT343" s="84"/>
      <c r="BY343" s="84"/>
      <c r="CC343" s="84"/>
      <c r="CG343" s="84"/>
      <c r="CK343" s="85"/>
      <c r="CL343" s="85"/>
      <c r="CM343" s="84"/>
      <c r="CO343" s="84"/>
      <c r="CT343" s="84"/>
      <c r="CY343" s="84"/>
      <c r="DC343" s="84"/>
      <c r="DG343" s="84"/>
      <c r="DK343" s="84"/>
      <c r="DO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5"/>
      <c r="AM344" s="84"/>
      <c r="AN344" s="84"/>
      <c r="AP344" s="84"/>
      <c r="AU344" s="84"/>
      <c r="AY344" s="86"/>
      <c r="BE344" s="84"/>
      <c r="BJ344" s="84"/>
      <c r="BO344" s="84"/>
      <c r="BT344" s="84"/>
      <c r="BY344" s="84"/>
      <c r="CC344" s="84"/>
      <c r="CG344" s="84"/>
      <c r="CK344" s="85"/>
      <c r="CL344" s="85"/>
      <c r="CM344" s="84"/>
      <c r="CO344" s="84"/>
      <c r="CT344" s="84"/>
      <c r="CY344" s="84"/>
      <c r="DC344" s="84"/>
      <c r="DG344" s="84"/>
      <c r="DK344" s="84"/>
      <c r="DO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5"/>
      <c r="AM345" s="84"/>
      <c r="AN345" s="84"/>
      <c r="AP345" s="84"/>
      <c r="AU345" s="84"/>
      <c r="AY345" s="86"/>
      <c r="BE345" s="84"/>
      <c r="BJ345" s="84"/>
      <c r="BO345" s="84"/>
      <c r="BT345" s="84"/>
      <c r="BY345" s="84"/>
      <c r="CC345" s="84"/>
      <c r="CG345" s="84"/>
      <c r="CK345" s="85"/>
      <c r="CL345" s="85"/>
      <c r="CM345" s="84"/>
      <c r="CO345" s="84"/>
      <c r="CT345" s="84"/>
      <c r="CY345" s="84"/>
      <c r="DC345" s="84"/>
      <c r="DG345" s="84"/>
      <c r="DK345" s="84"/>
      <c r="DO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5"/>
      <c r="AM346" s="84"/>
      <c r="AN346" s="84"/>
      <c r="AP346" s="84"/>
      <c r="AU346" s="84"/>
      <c r="AY346" s="86"/>
      <c r="BE346" s="84"/>
      <c r="BJ346" s="84"/>
      <c r="BO346" s="84"/>
      <c r="BT346" s="84"/>
      <c r="BY346" s="84"/>
      <c r="CC346" s="84"/>
      <c r="CG346" s="84"/>
      <c r="CK346" s="85"/>
      <c r="CL346" s="85"/>
      <c r="CM346" s="84"/>
      <c r="CO346" s="84"/>
      <c r="CT346" s="84"/>
      <c r="CY346" s="84"/>
      <c r="DC346" s="84"/>
      <c r="DG346" s="84"/>
      <c r="DK346" s="84"/>
      <c r="DO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5"/>
      <c r="AM347" s="84"/>
      <c r="AN347" s="84"/>
      <c r="AP347" s="84"/>
      <c r="AU347" s="84"/>
      <c r="AY347" s="86"/>
      <c r="BE347" s="84"/>
      <c r="BJ347" s="84"/>
      <c r="BO347" s="84"/>
      <c r="BT347" s="84"/>
      <c r="BY347" s="84"/>
      <c r="CC347" s="84"/>
      <c r="CG347" s="84"/>
      <c r="CK347" s="85"/>
      <c r="CL347" s="85"/>
      <c r="CM347" s="84"/>
      <c r="CO347" s="84"/>
      <c r="CT347" s="84"/>
      <c r="CY347" s="84"/>
      <c r="DC347" s="84"/>
      <c r="DG347" s="84"/>
      <c r="DK347" s="84"/>
      <c r="DO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5"/>
      <c r="AM348" s="84"/>
      <c r="AN348" s="84"/>
      <c r="AP348" s="84"/>
      <c r="AU348" s="84"/>
      <c r="AY348" s="86"/>
      <c r="BE348" s="84"/>
      <c r="BJ348" s="84"/>
      <c r="BO348" s="84"/>
      <c r="BT348" s="84"/>
      <c r="BY348" s="84"/>
      <c r="CC348" s="84"/>
      <c r="CG348" s="84"/>
      <c r="CK348" s="85"/>
      <c r="CL348" s="85"/>
      <c r="CM348" s="84"/>
      <c r="CO348" s="84"/>
      <c r="CT348" s="84"/>
      <c r="CY348" s="84"/>
      <c r="DC348" s="84"/>
      <c r="DG348" s="84"/>
      <c r="DK348" s="84"/>
      <c r="DO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5"/>
      <c r="AM349" s="84"/>
      <c r="AN349" s="84"/>
      <c r="AP349" s="84"/>
      <c r="AU349" s="84"/>
      <c r="AY349" s="86"/>
      <c r="BE349" s="84"/>
      <c r="BJ349" s="84"/>
      <c r="BO349" s="84"/>
      <c r="BT349" s="84"/>
      <c r="BY349" s="84"/>
      <c r="CC349" s="84"/>
      <c r="CG349" s="84"/>
      <c r="CK349" s="85"/>
      <c r="CL349" s="85"/>
      <c r="CM349" s="84"/>
      <c r="CO349" s="84"/>
      <c r="CT349" s="84"/>
      <c r="CY349" s="84"/>
      <c r="DC349" s="84"/>
      <c r="DG349" s="84"/>
      <c r="DK349" s="84"/>
      <c r="DO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5"/>
      <c r="AM350" s="84"/>
      <c r="AN350" s="84"/>
      <c r="AP350" s="84"/>
      <c r="AU350" s="84"/>
      <c r="AY350" s="86"/>
      <c r="BE350" s="84"/>
      <c r="BJ350" s="84"/>
      <c r="BO350" s="84"/>
      <c r="BT350" s="84"/>
      <c r="BY350" s="84"/>
      <c r="CC350" s="84"/>
      <c r="CG350" s="84"/>
      <c r="CK350" s="85"/>
      <c r="CL350" s="85"/>
      <c r="CM350" s="84"/>
      <c r="CO350" s="84"/>
      <c r="CT350" s="84"/>
      <c r="CY350" s="84"/>
      <c r="DC350" s="84"/>
      <c r="DG350" s="84"/>
      <c r="DK350" s="84"/>
      <c r="DO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5"/>
      <c r="AM351" s="84"/>
      <c r="AN351" s="84"/>
      <c r="AP351" s="84"/>
      <c r="AU351" s="84"/>
      <c r="AY351" s="86"/>
      <c r="BE351" s="84"/>
      <c r="BJ351" s="84"/>
      <c r="BO351" s="84"/>
      <c r="BT351" s="84"/>
      <c r="BY351" s="84"/>
      <c r="CC351" s="84"/>
      <c r="CG351" s="84"/>
      <c r="CK351" s="85"/>
      <c r="CL351" s="85"/>
      <c r="CM351" s="84"/>
      <c r="CO351" s="84"/>
      <c r="CT351" s="84"/>
      <c r="CY351" s="84"/>
      <c r="DC351" s="84"/>
      <c r="DG351" s="84"/>
      <c r="DK351" s="84"/>
      <c r="DO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5"/>
      <c r="AM352" s="84"/>
      <c r="AN352" s="84"/>
      <c r="AP352" s="84"/>
      <c r="AU352" s="84"/>
      <c r="AY352" s="86"/>
      <c r="BE352" s="84"/>
      <c r="BJ352" s="84"/>
      <c r="BO352" s="84"/>
      <c r="BT352" s="84"/>
      <c r="BY352" s="84"/>
      <c r="CC352" s="84"/>
      <c r="CG352" s="84"/>
      <c r="CK352" s="85"/>
      <c r="CL352" s="85"/>
      <c r="CM352" s="84"/>
      <c r="CO352" s="84"/>
      <c r="CT352" s="84"/>
      <c r="CY352" s="84"/>
      <c r="DC352" s="84"/>
      <c r="DG352" s="84"/>
      <c r="DK352" s="84"/>
      <c r="DO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5"/>
      <c r="AM353" s="84"/>
      <c r="AN353" s="84"/>
      <c r="AP353" s="84"/>
      <c r="AU353" s="84"/>
      <c r="AY353" s="86"/>
      <c r="BE353" s="84"/>
      <c r="BJ353" s="84"/>
      <c r="BO353" s="84"/>
      <c r="BT353" s="84"/>
      <c r="BY353" s="84"/>
      <c r="CC353" s="84"/>
      <c r="CG353" s="84"/>
      <c r="CK353" s="85"/>
      <c r="CL353" s="85"/>
      <c r="CM353" s="84"/>
      <c r="CO353" s="84"/>
      <c r="CT353" s="84"/>
      <c r="CY353" s="84"/>
      <c r="DC353" s="84"/>
      <c r="DG353" s="84"/>
      <c r="DK353" s="84"/>
      <c r="DO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5"/>
      <c r="AM354" s="84"/>
      <c r="AN354" s="84"/>
      <c r="AP354" s="84"/>
      <c r="AU354" s="84"/>
      <c r="AY354" s="86"/>
      <c r="BE354" s="84"/>
      <c r="BJ354" s="84"/>
      <c r="BO354" s="84"/>
      <c r="BT354" s="84"/>
      <c r="BY354" s="84"/>
      <c r="CC354" s="84"/>
      <c r="CG354" s="84"/>
      <c r="CK354" s="85"/>
      <c r="CL354" s="85"/>
      <c r="CM354" s="84"/>
      <c r="CO354" s="84"/>
      <c r="CT354" s="84"/>
      <c r="CY354" s="84"/>
      <c r="DC354" s="84"/>
      <c r="DG354" s="84"/>
      <c r="DK354" s="84"/>
      <c r="DO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5"/>
      <c r="AM355" s="84"/>
      <c r="AN355" s="84"/>
      <c r="AP355" s="84"/>
      <c r="AU355" s="84"/>
      <c r="AY355" s="86"/>
      <c r="BE355" s="84"/>
      <c r="BJ355" s="84"/>
      <c r="BO355" s="84"/>
      <c r="BT355" s="84"/>
      <c r="BY355" s="84"/>
      <c r="CC355" s="84"/>
      <c r="CG355" s="84"/>
      <c r="CK355" s="85"/>
      <c r="CL355" s="85"/>
      <c r="CM355" s="84"/>
      <c r="CO355" s="84"/>
      <c r="CT355" s="84"/>
      <c r="CY355" s="84"/>
      <c r="DC355" s="84"/>
      <c r="DG355" s="84"/>
      <c r="DK355" s="84"/>
      <c r="DO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5"/>
      <c r="AM356" s="84"/>
      <c r="AN356" s="84"/>
      <c r="AP356" s="84"/>
      <c r="AU356" s="84"/>
      <c r="AY356" s="86"/>
      <c r="BE356" s="84"/>
      <c r="BJ356" s="84"/>
      <c r="BO356" s="84"/>
      <c r="BT356" s="84"/>
      <c r="BY356" s="84"/>
      <c r="CC356" s="84"/>
      <c r="CG356" s="84"/>
      <c r="CK356" s="85"/>
      <c r="CL356" s="85"/>
      <c r="CM356" s="84"/>
      <c r="CO356" s="84"/>
      <c r="CT356" s="84"/>
      <c r="CY356" s="84"/>
      <c r="DC356" s="84"/>
      <c r="DG356" s="84"/>
      <c r="DK356" s="84"/>
      <c r="DO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5"/>
      <c r="AM357" s="84"/>
      <c r="AN357" s="84"/>
      <c r="AP357" s="84"/>
      <c r="AU357" s="84"/>
      <c r="AY357" s="86"/>
      <c r="BE357" s="84"/>
      <c r="BJ357" s="84"/>
      <c r="BO357" s="84"/>
      <c r="BT357" s="84"/>
      <c r="BY357" s="84"/>
      <c r="CC357" s="84"/>
      <c r="CG357" s="84"/>
      <c r="CK357" s="85"/>
      <c r="CL357" s="85"/>
      <c r="CM357" s="84"/>
      <c r="CO357" s="84"/>
      <c r="CT357" s="84"/>
      <c r="CY357" s="84"/>
      <c r="DC357" s="84"/>
      <c r="DG357" s="84"/>
      <c r="DK357" s="84"/>
      <c r="DO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5"/>
      <c r="AM358" s="84"/>
      <c r="AN358" s="84"/>
      <c r="AP358" s="84"/>
      <c r="AU358" s="84"/>
      <c r="AY358" s="86"/>
      <c r="BE358" s="84"/>
      <c r="BJ358" s="84"/>
      <c r="BO358" s="84"/>
      <c r="BT358" s="84"/>
      <c r="BY358" s="84"/>
      <c r="CC358" s="84"/>
      <c r="CG358" s="84"/>
      <c r="CK358" s="85"/>
      <c r="CL358" s="85"/>
      <c r="CM358" s="84"/>
      <c r="CO358" s="84"/>
      <c r="CT358" s="84"/>
      <c r="CY358" s="84"/>
      <c r="DC358" s="84"/>
      <c r="DG358" s="84"/>
      <c r="DK358" s="84"/>
      <c r="DO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5"/>
      <c r="AM359" s="84"/>
      <c r="AN359" s="84"/>
      <c r="AP359" s="84"/>
      <c r="AU359" s="84"/>
      <c r="AY359" s="86"/>
      <c r="BE359" s="84"/>
      <c r="BJ359" s="84"/>
      <c r="BO359" s="84"/>
      <c r="BT359" s="84"/>
      <c r="BY359" s="84"/>
      <c r="CC359" s="84"/>
      <c r="CG359" s="84"/>
      <c r="CK359" s="85"/>
      <c r="CL359" s="85"/>
      <c r="CM359" s="84"/>
      <c r="CO359" s="84"/>
      <c r="CT359" s="84"/>
      <c r="CY359" s="84"/>
      <c r="DC359" s="84"/>
      <c r="DG359" s="84"/>
      <c r="DK359" s="84"/>
      <c r="DO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5"/>
      <c r="AM360" s="84"/>
      <c r="AN360" s="84"/>
      <c r="AP360" s="84"/>
      <c r="AU360" s="84"/>
      <c r="AY360" s="86"/>
      <c r="BE360" s="84"/>
      <c r="BJ360" s="84"/>
      <c r="BO360" s="84"/>
      <c r="BT360" s="84"/>
      <c r="BY360" s="84"/>
      <c r="CC360" s="84"/>
      <c r="CG360" s="84"/>
      <c r="CK360" s="85"/>
      <c r="CL360" s="85"/>
      <c r="CM360" s="84"/>
      <c r="CO360" s="84"/>
      <c r="CT360" s="84"/>
      <c r="CY360" s="84"/>
      <c r="DC360" s="84"/>
      <c r="DG360" s="84"/>
      <c r="DK360" s="84"/>
      <c r="DO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5"/>
      <c r="AM361" s="84"/>
      <c r="AN361" s="84"/>
      <c r="AP361" s="84"/>
      <c r="AU361" s="84"/>
      <c r="AY361" s="86"/>
      <c r="BE361" s="84"/>
      <c r="BJ361" s="84"/>
      <c r="BO361" s="84"/>
      <c r="BT361" s="84"/>
      <c r="BY361" s="84"/>
      <c r="CC361" s="84"/>
      <c r="CG361" s="84"/>
      <c r="CK361" s="85"/>
      <c r="CL361" s="85"/>
      <c r="CM361" s="84"/>
      <c r="CO361" s="84"/>
      <c r="CT361" s="84"/>
      <c r="CY361" s="84"/>
      <c r="DC361" s="84"/>
      <c r="DG361" s="84"/>
      <c r="DK361" s="84"/>
      <c r="DO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5"/>
      <c r="AM362" s="84"/>
      <c r="AN362" s="84"/>
      <c r="AP362" s="84"/>
      <c r="AU362" s="84"/>
      <c r="AY362" s="86"/>
      <c r="BE362" s="84"/>
      <c r="BJ362" s="84"/>
      <c r="BO362" s="84"/>
      <c r="BT362" s="84"/>
      <c r="BY362" s="84"/>
      <c r="CC362" s="84"/>
      <c r="CG362" s="84"/>
      <c r="CK362" s="85"/>
      <c r="CL362" s="85"/>
      <c r="CM362" s="84"/>
      <c r="CO362" s="84"/>
      <c r="CT362" s="84"/>
      <c r="CY362" s="84"/>
      <c r="DC362" s="84"/>
      <c r="DG362" s="84"/>
      <c r="DK362" s="84"/>
      <c r="DO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5"/>
      <c r="AM363" s="84"/>
      <c r="AN363" s="84"/>
      <c r="AP363" s="84"/>
      <c r="AU363" s="84"/>
      <c r="AY363" s="86"/>
      <c r="BE363" s="84"/>
      <c r="BJ363" s="84"/>
      <c r="BO363" s="84"/>
      <c r="BT363" s="84"/>
      <c r="BY363" s="84"/>
      <c r="CC363" s="84"/>
      <c r="CG363" s="84"/>
      <c r="CK363" s="85"/>
      <c r="CL363" s="85"/>
      <c r="CM363" s="84"/>
      <c r="CO363" s="84"/>
      <c r="CT363" s="84"/>
      <c r="CY363" s="84"/>
      <c r="DC363" s="84"/>
      <c r="DG363" s="84"/>
      <c r="DK363" s="84"/>
      <c r="DO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5"/>
      <c r="AM364" s="84"/>
      <c r="AN364" s="84"/>
      <c r="AP364" s="84"/>
      <c r="AU364" s="84"/>
      <c r="AY364" s="86"/>
      <c r="BE364" s="84"/>
      <c r="BJ364" s="84"/>
      <c r="BO364" s="84"/>
      <c r="BT364" s="84"/>
      <c r="BY364" s="84"/>
      <c r="CC364" s="84"/>
      <c r="CG364" s="84"/>
      <c r="CK364" s="85"/>
      <c r="CL364" s="85"/>
      <c r="CM364" s="84"/>
      <c r="CO364" s="84"/>
      <c r="CT364" s="84"/>
      <c r="CY364" s="84"/>
      <c r="DC364" s="84"/>
      <c r="DG364" s="84"/>
      <c r="DK364" s="84"/>
      <c r="DO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5"/>
      <c r="AM365" s="84"/>
      <c r="AN365" s="84"/>
      <c r="AP365" s="84"/>
      <c r="AU365" s="84"/>
      <c r="AY365" s="86"/>
      <c r="BE365" s="84"/>
      <c r="BJ365" s="84"/>
      <c r="BO365" s="84"/>
      <c r="BT365" s="84"/>
      <c r="BY365" s="84"/>
      <c r="CC365" s="84"/>
      <c r="CG365" s="84"/>
      <c r="CK365" s="85"/>
      <c r="CL365" s="85"/>
      <c r="CM365" s="84"/>
      <c r="CO365" s="84"/>
      <c r="CT365" s="84"/>
      <c r="CY365" s="84"/>
      <c r="DC365" s="84"/>
      <c r="DG365" s="84"/>
      <c r="DK365" s="84"/>
      <c r="DO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5"/>
      <c r="AM366" s="84"/>
      <c r="AN366" s="84"/>
      <c r="AP366" s="84"/>
      <c r="AU366" s="84"/>
      <c r="AY366" s="86"/>
      <c r="BE366" s="84"/>
      <c r="BJ366" s="84"/>
      <c r="BO366" s="84"/>
      <c r="BT366" s="84"/>
      <c r="BY366" s="84"/>
      <c r="CC366" s="84"/>
      <c r="CG366" s="84"/>
      <c r="CK366" s="85"/>
      <c r="CL366" s="85"/>
      <c r="CM366" s="84"/>
      <c r="CO366" s="84"/>
      <c r="CT366" s="84"/>
      <c r="CY366" s="84"/>
      <c r="DC366" s="84"/>
      <c r="DG366" s="84"/>
      <c r="DK366" s="84"/>
      <c r="DO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5"/>
      <c r="AM367" s="84"/>
      <c r="AN367" s="84"/>
      <c r="AP367" s="84"/>
      <c r="AU367" s="84"/>
      <c r="AY367" s="86"/>
      <c r="BE367" s="84"/>
      <c r="BJ367" s="84"/>
      <c r="BO367" s="84"/>
      <c r="BT367" s="84"/>
      <c r="BY367" s="84"/>
      <c r="CC367" s="84"/>
      <c r="CG367" s="84"/>
      <c r="CK367" s="85"/>
      <c r="CL367" s="85"/>
      <c r="CM367" s="84"/>
      <c r="CO367" s="84"/>
      <c r="CT367" s="84"/>
      <c r="CY367" s="84"/>
      <c r="DC367" s="84"/>
      <c r="DG367" s="84"/>
      <c r="DK367" s="84"/>
      <c r="DO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5"/>
      <c r="AM368" s="84"/>
      <c r="AN368" s="84"/>
      <c r="AP368" s="84"/>
      <c r="AU368" s="84"/>
      <c r="AY368" s="86"/>
      <c r="BE368" s="84"/>
      <c r="BJ368" s="84"/>
      <c r="BO368" s="84"/>
      <c r="BT368" s="84"/>
      <c r="BY368" s="84"/>
      <c r="CC368" s="84"/>
      <c r="CG368" s="84"/>
      <c r="CK368" s="85"/>
      <c r="CL368" s="85"/>
      <c r="CM368" s="84"/>
      <c r="CO368" s="84"/>
      <c r="CT368" s="84"/>
      <c r="CY368" s="84"/>
      <c r="DC368" s="84"/>
      <c r="DG368" s="84"/>
      <c r="DK368" s="84"/>
      <c r="DO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5"/>
      <c r="AM369" s="84"/>
      <c r="AN369" s="84"/>
      <c r="AP369" s="84"/>
      <c r="AU369" s="84"/>
      <c r="AY369" s="86"/>
      <c r="BE369" s="84"/>
      <c r="BJ369" s="84"/>
      <c r="BO369" s="84"/>
      <c r="BT369" s="84"/>
      <c r="BY369" s="84"/>
      <c r="CC369" s="84"/>
      <c r="CG369" s="84"/>
      <c r="CK369" s="85"/>
      <c r="CL369" s="85"/>
      <c r="CM369" s="84"/>
      <c r="CO369" s="84"/>
      <c r="CT369" s="84"/>
      <c r="CY369" s="84"/>
      <c r="DC369" s="84"/>
      <c r="DG369" s="84"/>
      <c r="DK369" s="84"/>
      <c r="DO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5"/>
      <c r="AM370" s="84"/>
      <c r="AN370" s="84"/>
      <c r="AP370" s="84"/>
      <c r="AU370" s="84"/>
      <c r="AY370" s="86"/>
      <c r="BE370" s="84"/>
      <c r="BJ370" s="84"/>
      <c r="BO370" s="84"/>
      <c r="BT370" s="84"/>
      <c r="BY370" s="84"/>
      <c r="CC370" s="84"/>
      <c r="CG370" s="84"/>
      <c r="CK370" s="85"/>
      <c r="CL370" s="85"/>
      <c r="CM370" s="84"/>
      <c r="CO370" s="84"/>
      <c r="CT370" s="84"/>
      <c r="CY370" s="84"/>
      <c r="DC370" s="84"/>
      <c r="DG370" s="84"/>
      <c r="DK370" s="84"/>
      <c r="DO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5"/>
      <c r="AM371" s="84"/>
      <c r="AN371" s="84"/>
      <c r="AP371" s="84"/>
      <c r="AU371" s="84"/>
      <c r="AY371" s="86"/>
      <c r="BE371" s="84"/>
      <c r="BJ371" s="84"/>
      <c r="BO371" s="84"/>
      <c r="BT371" s="84"/>
      <c r="BY371" s="84"/>
      <c r="CC371" s="84"/>
      <c r="CG371" s="84"/>
      <c r="CK371" s="85"/>
      <c r="CL371" s="85"/>
      <c r="CM371" s="84"/>
      <c r="CO371" s="84"/>
      <c r="CT371" s="84"/>
      <c r="CY371" s="84"/>
      <c r="DC371" s="84"/>
      <c r="DG371" s="84"/>
      <c r="DK371" s="84"/>
      <c r="DO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5"/>
      <c r="AM372" s="84"/>
      <c r="AN372" s="84"/>
      <c r="AP372" s="84"/>
      <c r="AU372" s="84"/>
      <c r="AY372" s="86"/>
      <c r="BE372" s="84"/>
      <c r="BJ372" s="84"/>
      <c r="BO372" s="84"/>
      <c r="BT372" s="84"/>
      <c r="BY372" s="84"/>
      <c r="CC372" s="84"/>
      <c r="CG372" s="84"/>
      <c r="CK372" s="85"/>
      <c r="CL372" s="85"/>
      <c r="CM372" s="84"/>
      <c r="CO372" s="84"/>
      <c r="CT372" s="84"/>
      <c r="CY372" s="84"/>
      <c r="DC372" s="84"/>
      <c r="DG372" s="84"/>
      <c r="DK372" s="84"/>
      <c r="DO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5"/>
      <c r="AM373" s="84"/>
      <c r="AN373" s="84"/>
      <c r="AP373" s="84"/>
      <c r="AU373" s="84"/>
      <c r="AY373" s="86"/>
      <c r="BE373" s="84"/>
      <c r="BJ373" s="84"/>
      <c r="BO373" s="84"/>
      <c r="BT373" s="84"/>
      <c r="BY373" s="84"/>
      <c r="CC373" s="84"/>
      <c r="CG373" s="84"/>
      <c r="CK373" s="85"/>
      <c r="CL373" s="85"/>
      <c r="CM373" s="84"/>
      <c r="CO373" s="84"/>
      <c r="CT373" s="84"/>
      <c r="CY373" s="84"/>
      <c r="DC373" s="84"/>
      <c r="DG373" s="84"/>
      <c r="DK373" s="84"/>
      <c r="DO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5"/>
      <c r="AM374" s="84"/>
      <c r="AN374" s="84"/>
      <c r="AP374" s="84"/>
      <c r="AU374" s="84"/>
      <c r="AY374" s="86"/>
      <c r="BE374" s="84"/>
      <c r="BJ374" s="84"/>
      <c r="BO374" s="84"/>
      <c r="BT374" s="84"/>
      <c r="BY374" s="84"/>
      <c r="CC374" s="84"/>
      <c r="CG374" s="84"/>
      <c r="CK374" s="85"/>
      <c r="CL374" s="85"/>
      <c r="CM374" s="84"/>
      <c r="CO374" s="84"/>
      <c r="CT374" s="84"/>
      <c r="CY374" s="84"/>
      <c r="DC374" s="84"/>
      <c r="DG374" s="84"/>
      <c r="DK374" s="84"/>
      <c r="DO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5"/>
      <c r="AM375" s="84"/>
      <c r="AN375" s="84"/>
      <c r="AP375" s="84"/>
      <c r="AU375" s="84"/>
      <c r="AY375" s="86"/>
      <c r="BE375" s="84"/>
      <c r="BJ375" s="84"/>
      <c r="BO375" s="84"/>
      <c r="BT375" s="84"/>
      <c r="BY375" s="84"/>
      <c r="CC375" s="84"/>
      <c r="CG375" s="84"/>
      <c r="CK375" s="85"/>
      <c r="CL375" s="85"/>
      <c r="CM375" s="84"/>
      <c r="CO375" s="84"/>
      <c r="CT375" s="84"/>
      <c r="CY375" s="84"/>
      <c r="DC375" s="84"/>
      <c r="DG375" s="84"/>
      <c r="DK375" s="84"/>
      <c r="DO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5"/>
      <c r="AM376" s="84"/>
      <c r="AN376" s="84"/>
      <c r="AP376" s="84"/>
      <c r="AU376" s="84"/>
      <c r="AY376" s="86"/>
      <c r="BE376" s="84"/>
      <c r="BJ376" s="84"/>
      <c r="BO376" s="84"/>
      <c r="BT376" s="84"/>
      <c r="BY376" s="84"/>
      <c r="CC376" s="84"/>
      <c r="CG376" s="84"/>
      <c r="CK376" s="85"/>
      <c r="CL376" s="85"/>
      <c r="CM376" s="84"/>
      <c r="CO376" s="84"/>
      <c r="CT376" s="84"/>
      <c r="CY376" s="84"/>
      <c r="DC376" s="84"/>
      <c r="DG376" s="84"/>
      <c r="DK376" s="84"/>
      <c r="DO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5"/>
      <c r="AM377" s="84"/>
      <c r="AN377" s="84"/>
      <c r="AP377" s="84"/>
      <c r="AU377" s="84"/>
      <c r="AY377" s="86"/>
      <c r="BE377" s="84"/>
      <c r="BJ377" s="84"/>
      <c r="BO377" s="84"/>
      <c r="BT377" s="84"/>
      <c r="BY377" s="84"/>
      <c r="CC377" s="84"/>
      <c r="CG377" s="84"/>
      <c r="CK377" s="85"/>
      <c r="CL377" s="85"/>
      <c r="CM377" s="84"/>
      <c r="CO377" s="84"/>
      <c r="CT377" s="84"/>
      <c r="CY377" s="84"/>
      <c r="DC377" s="84"/>
      <c r="DG377" s="84"/>
      <c r="DK377" s="84"/>
      <c r="DO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5"/>
      <c r="AM378" s="84"/>
      <c r="AN378" s="84"/>
      <c r="AP378" s="84"/>
      <c r="AU378" s="84"/>
      <c r="AY378" s="86"/>
      <c r="BE378" s="84"/>
      <c r="BJ378" s="84"/>
      <c r="BO378" s="84"/>
      <c r="BT378" s="84"/>
      <c r="BY378" s="84"/>
      <c r="CC378" s="84"/>
      <c r="CG378" s="84"/>
      <c r="CK378" s="85"/>
      <c r="CL378" s="85"/>
      <c r="CM378" s="84"/>
      <c r="CO378" s="84"/>
      <c r="CT378" s="84"/>
      <c r="CY378" s="84"/>
      <c r="DC378" s="84"/>
      <c r="DG378" s="84"/>
      <c r="DK378" s="84"/>
      <c r="DO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5"/>
      <c r="AM379" s="84"/>
      <c r="AN379" s="84"/>
      <c r="AP379" s="84"/>
      <c r="AU379" s="84"/>
      <c r="AY379" s="86"/>
      <c r="BE379" s="84"/>
      <c r="BJ379" s="84"/>
      <c r="BO379" s="84"/>
      <c r="BT379" s="84"/>
      <c r="BY379" s="84"/>
      <c r="CC379" s="84"/>
      <c r="CG379" s="84"/>
      <c r="CK379" s="85"/>
      <c r="CL379" s="85"/>
      <c r="CM379" s="84"/>
      <c r="CO379" s="84"/>
      <c r="CT379" s="84"/>
      <c r="CY379" s="84"/>
      <c r="DC379" s="84"/>
      <c r="DG379" s="84"/>
      <c r="DK379" s="84"/>
      <c r="DO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5"/>
      <c r="AM380" s="84"/>
      <c r="AN380" s="84"/>
      <c r="AP380" s="84"/>
      <c r="AU380" s="84"/>
      <c r="AY380" s="86"/>
      <c r="BE380" s="84"/>
      <c r="BJ380" s="84"/>
      <c r="BO380" s="84"/>
      <c r="BT380" s="84"/>
      <c r="BY380" s="84"/>
      <c r="CC380" s="84"/>
      <c r="CG380" s="84"/>
      <c r="CK380" s="85"/>
      <c r="CL380" s="85"/>
      <c r="CM380" s="84"/>
      <c r="CO380" s="84"/>
      <c r="CT380" s="84"/>
      <c r="CY380" s="84"/>
      <c r="DC380" s="84"/>
      <c r="DG380" s="84"/>
      <c r="DK380" s="84"/>
      <c r="DO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5"/>
      <c r="AM381" s="84"/>
      <c r="AN381" s="84"/>
      <c r="AP381" s="84"/>
      <c r="AU381" s="84"/>
      <c r="AY381" s="86"/>
      <c r="BE381" s="84"/>
      <c r="BJ381" s="84"/>
      <c r="BO381" s="84"/>
      <c r="BT381" s="84"/>
      <c r="BY381" s="84"/>
      <c r="CC381" s="84"/>
      <c r="CG381" s="84"/>
      <c r="CK381" s="85"/>
      <c r="CL381" s="85"/>
      <c r="CM381" s="84"/>
      <c r="CO381" s="84"/>
      <c r="CT381" s="84"/>
      <c r="CY381" s="84"/>
      <c r="DC381" s="84"/>
      <c r="DG381" s="84"/>
      <c r="DK381" s="84"/>
      <c r="DO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5"/>
      <c r="AM382" s="84"/>
      <c r="AN382" s="84"/>
      <c r="AP382" s="84"/>
      <c r="AU382" s="84"/>
      <c r="AY382" s="86"/>
      <c r="BE382" s="84"/>
      <c r="BJ382" s="84"/>
      <c r="BO382" s="84"/>
      <c r="BT382" s="84"/>
      <c r="BY382" s="84"/>
      <c r="CC382" s="84"/>
      <c r="CG382" s="84"/>
      <c r="CK382" s="85"/>
      <c r="CL382" s="85"/>
      <c r="CM382" s="84"/>
      <c r="CO382" s="84"/>
      <c r="CT382" s="84"/>
      <c r="CY382" s="84"/>
      <c r="DC382" s="84"/>
      <c r="DG382" s="84"/>
      <c r="DK382" s="84"/>
      <c r="DO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5"/>
      <c r="AM383" s="84"/>
      <c r="AN383" s="84"/>
      <c r="AP383" s="84"/>
      <c r="AU383" s="84"/>
      <c r="AY383" s="86"/>
      <c r="BE383" s="84"/>
      <c r="BJ383" s="84"/>
      <c r="BO383" s="84"/>
      <c r="BT383" s="84"/>
      <c r="BY383" s="84"/>
      <c r="CC383" s="84"/>
      <c r="CG383" s="84"/>
      <c r="CK383" s="85"/>
      <c r="CL383" s="85"/>
      <c r="CM383" s="84"/>
      <c r="CO383" s="84"/>
      <c r="CT383" s="84"/>
      <c r="CY383" s="84"/>
      <c r="DC383" s="84"/>
      <c r="DG383" s="84"/>
      <c r="DK383" s="84"/>
      <c r="DO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5"/>
      <c r="AM384" s="84"/>
      <c r="AN384" s="84"/>
      <c r="AP384" s="84"/>
      <c r="AU384" s="84"/>
      <c r="AY384" s="86"/>
      <c r="BE384" s="84"/>
      <c r="BJ384" s="84"/>
      <c r="BO384" s="84"/>
      <c r="BT384" s="84"/>
      <c r="BY384" s="84"/>
      <c r="CC384" s="84"/>
      <c r="CG384" s="84"/>
      <c r="CK384" s="85"/>
      <c r="CL384" s="85"/>
      <c r="CM384" s="84"/>
      <c r="CO384" s="84"/>
      <c r="CT384" s="84"/>
      <c r="CY384" s="84"/>
      <c r="DC384" s="84"/>
      <c r="DG384" s="84"/>
      <c r="DK384" s="84"/>
      <c r="DO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5"/>
      <c r="AM385" s="84"/>
      <c r="AN385" s="84"/>
      <c r="AP385" s="84"/>
      <c r="AU385" s="84"/>
      <c r="AY385" s="86"/>
      <c r="BE385" s="84"/>
      <c r="BJ385" s="84"/>
      <c r="BO385" s="84"/>
      <c r="BT385" s="84"/>
      <c r="BY385" s="84"/>
      <c r="CC385" s="84"/>
      <c r="CG385" s="84"/>
      <c r="CK385" s="85"/>
      <c r="CL385" s="85"/>
      <c r="CM385" s="84"/>
      <c r="CO385" s="84"/>
      <c r="CT385" s="84"/>
      <c r="CY385" s="84"/>
      <c r="DC385" s="84"/>
      <c r="DG385" s="84"/>
      <c r="DK385" s="84"/>
      <c r="DO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5"/>
      <c r="AM386" s="84"/>
      <c r="AN386" s="84"/>
      <c r="AP386" s="84"/>
      <c r="AU386" s="84"/>
      <c r="AY386" s="86"/>
      <c r="BE386" s="84"/>
      <c r="BJ386" s="84"/>
      <c r="BO386" s="84"/>
      <c r="BT386" s="84"/>
      <c r="BY386" s="84"/>
      <c r="CC386" s="84"/>
      <c r="CG386" s="84"/>
      <c r="CK386" s="85"/>
      <c r="CL386" s="85"/>
      <c r="CM386" s="84"/>
      <c r="CO386" s="84"/>
      <c r="CT386" s="84"/>
      <c r="CY386" s="84"/>
      <c r="DC386" s="84"/>
      <c r="DG386" s="84"/>
      <c r="DK386" s="84"/>
      <c r="DO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5"/>
      <c r="AM387" s="84"/>
      <c r="AN387" s="84"/>
      <c r="AP387" s="84"/>
      <c r="AU387" s="84"/>
      <c r="AY387" s="86"/>
      <c r="BE387" s="84"/>
      <c r="BJ387" s="84"/>
      <c r="BO387" s="84"/>
      <c r="BT387" s="84"/>
      <c r="BY387" s="84"/>
      <c r="CC387" s="84"/>
      <c r="CG387" s="84"/>
      <c r="CK387" s="85"/>
      <c r="CL387" s="85"/>
      <c r="CM387" s="84"/>
      <c r="CO387" s="84"/>
      <c r="CT387" s="84"/>
      <c r="CY387" s="84"/>
      <c r="DC387" s="84"/>
      <c r="DG387" s="84"/>
      <c r="DK387" s="84"/>
      <c r="DO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5"/>
      <c r="AM388" s="84"/>
      <c r="AN388" s="84"/>
      <c r="AP388" s="84"/>
      <c r="AU388" s="84"/>
      <c r="AY388" s="86"/>
      <c r="BE388" s="84"/>
      <c r="BJ388" s="84"/>
      <c r="BO388" s="84"/>
      <c r="BT388" s="84"/>
      <c r="BY388" s="84"/>
      <c r="CC388" s="84"/>
      <c r="CG388" s="84"/>
      <c r="CK388" s="85"/>
      <c r="CL388" s="85"/>
      <c r="CM388" s="84"/>
      <c r="CO388" s="84"/>
      <c r="CT388" s="84"/>
      <c r="CY388" s="84"/>
      <c r="DC388" s="84"/>
      <c r="DG388" s="84"/>
      <c r="DK388" s="84"/>
      <c r="DO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5"/>
      <c r="AM389" s="84"/>
      <c r="AN389" s="84"/>
      <c r="AP389" s="84"/>
      <c r="AU389" s="84"/>
      <c r="AY389" s="86"/>
      <c r="BE389" s="84"/>
      <c r="BJ389" s="84"/>
      <c r="BO389" s="84"/>
      <c r="BT389" s="84"/>
      <c r="BY389" s="84"/>
      <c r="CC389" s="84"/>
      <c r="CG389" s="84"/>
      <c r="CK389" s="85"/>
      <c r="CL389" s="85"/>
      <c r="CM389" s="84"/>
      <c r="CO389" s="84"/>
      <c r="CT389" s="84"/>
      <c r="CY389" s="84"/>
      <c r="DC389" s="84"/>
      <c r="DG389" s="84"/>
      <c r="DK389" s="84"/>
      <c r="DO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5"/>
      <c r="AM390" s="84"/>
      <c r="AN390" s="84"/>
      <c r="AP390" s="84"/>
      <c r="AU390" s="84"/>
      <c r="AY390" s="86"/>
      <c r="BE390" s="84"/>
      <c r="BJ390" s="84"/>
      <c r="BO390" s="84"/>
      <c r="BT390" s="84"/>
      <c r="BY390" s="84"/>
      <c r="CC390" s="84"/>
      <c r="CG390" s="84"/>
      <c r="CK390" s="85"/>
      <c r="CL390" s="85"/>
      <c r="CM390" s="84"/>
      <c r="CO390" s="84"/>
      <c r="CT390" s="84"/>
      <c r="CY390" s="84"/>
      <c r="DC390" s="84"/>
      <c r="DG390" s="84"/>
      <c r="DK390" s="84"/>
      <c r="DO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5"/>
      <c r="AM391" s="84"/>
      <c r="AN391" s="84"/>
      <c r="AP391" s="84"/>
      <c r="AU391" s="84"/>
      <c r="AY391" s="86"/>
      <c r="BE391" s="84"/>
      <c r="BJ391" s="84"/>
      <c r="BO391" s="84"/>
      <c r="BT391" s="84"/>
      <c r="BY391" s="84"/>
      <c r="CC391" s="84"/>
      <c r="CG391" s="84"/>
      <c r="CK391" s="85"/>
      <c r="CL391" s="85"/>
      <c r="CM391" s="84"/>
      <c r="CO391" s="84"/>
      <c r="CT391" s="84"/>
      <c r="CY391" s="84"/>
      <c r="DC391" s="84"/>
      <c r="DG391" s="84"/>
      <c r="DK391" s="84"/>
      <c r="DO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5"/>
      <c r="AM392" s="84"/>
      <c r="AN392" s="84"/>
      <c r="AP392" s="84"/>
      <c r="AU392" s="84"/>
      <c r="AY392" s="86"/>
      <c r="BE392" s="84"/>
      <c r="BJ392" s="84"/>
      <c r="BO392" s="84"/>
      <c r="BT392" s="84"/>
      <c r="BY392" s="84"/>
      <c r="CC392" s="84"/>
      <c r="CG392" s="84"/>
      <c r="CK392" s="85"/>
      <c r="CL392" s="85"/>
      <c r="CM392" s="84"/>
      <c r="CO392" s="84"/>
      <c r="CT392" s="84"/>
      <c r="CY392" s="84"/>
      <c r="DC392" s="84"/>
      <c r="DG392" s="84"/>
      <c r="DK392" s="84"/>
      <c r="DO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5"/>
      <c r="AM393" s="84"/>
      <c r="AN393" s="84"/>
      <c r="AP393" s="84"/>
      <c r="AU393" s="84"/>
      <c r="AY393" s="86"/>
      <c r="BE393" s="84"/>
      <c r="BJ393" s="84"/>
      <c r="BO393" s="84"/>
      <c r="BT393" s="84"/>
      <c r="BY393" s="84"/>
      <c r="CC393" s="84"/>
      <c r="CG393" s="84"/>
      <c r="CK393" s="85"/>
      <c r="CL393" s="85"/>
      <c r="CM393" s="84"/>
      <c r="CO393" s="84"/>
      <c r="CT393" s="84"/>
      <c r="CY393" s="84"/>
      <c r="DC393" s="84"/>
      <c r="DG393" s="84"/>
      <c r="DK393" s="84"/>
      <c r="DO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5"/>
      <c r="AM394" s="84"/>
      <c r="AN394" s="84"/>
      <c r="AP394" s="84"/>
      <c r="AU394" s="84"/>
      <c r="AY394" s="86"/>
      <c r="BE394" s="84"/>
      <c r="BJ394" s="84"/>
      <c r="BO394" s="84"/>
      <c r="BT394" s="84"/>
      <c r="BY394" s="84"/>
      <c r="CC394" s="84"/>
      <c r="CG394" s="84"/>
      <c r="CK394" s="85"/>
      <c r="CL394" s="85"/>
      <c r="CM394" s="84"/>
      <c r="CO394" s="84"/>
      <c r="CT394" s="84"/>
      <c r="CY394" s="84"/>
      <c r="DC394" s="84"/>
      <c r="DG394" s="84"/>
      <c r="DK394" s="84"/>
      <c r="DO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5"/>
      <c r="AM395" s="84"/>
      <c r="AN395" s="84"/>
      <c r="AP395" s="84"/>
      <c r="AU395" s="84"/>
      <c r="AY395" s="86"/>
      <c r="BE395" s="84"/>
      <c r="BJ395" s="84"/>
      <c r="BO395" s="84"/>
      <c r="BT395" s="84"/>
      <c r="BY395" s="84"/>
      <c r="CC395" s="84"/>
      <c r="CG395" s="84"/>
      <c r="CK395" s="85"/>
      <c r="CL395" s="85"/>
      <c r="CM395" s="84"/>
      <c r="CO395" s="84"/>
      <c r="CT395" s="84"/>
      <c r="CY395" s="84"/>
      <c r="DC395" s="84"/>
      <c r="DG395" s="84"/>
      <c r="DK395" s="84"/>
      <c r="DO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5"/>
      <c r="AM396" s="84"/>
      <c r="AN396" s="84"/>
      <c r="AP396" s="84"/>
      <c r="AU396" s="84"/>
      <c r="AY396" s="86"/>
      <c r="BE396" s="84"/>
      <c r="BJ396" s="84"/>
      <c r="BO396" s="84"/>
      <c r="BT396" s="84"/>
      <c r="BY396" s="84"/>
      <c r="CC396" s="84"/>
      <c r="CG396" s="84"/>
      <c r="CK396" s="85"/>
      <c r="CL396" s="85"/>
      <c r="CM396" s="84"/>
      <c r="CO396" s="84"/>
      <c r="CT396" s="84"/>
      <c r="CY396" s="84"/>
      <c r="DC396" s="84"/>
      <c r="DG396" s="84"/>
      <c r="DK396" s="84"/>
      <c r="DO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5"/>
      <c r="AM397" s="84"/>
      <c r="AN397" s="84"/>
      <c r="AP397" s="84"/>
      <c r="AU397" s="84"/>
      <c r="AY397" s="86"/>
      <c r="BE397" s="84"/>
      <c r="BJ397" s="84"/>
      <c r="BO397" s="84"/>
      <c r="BT397" s="84"/>
      <c r="BY397" s="84"/>
      <c r="CC397" s="84"/>
      <c r="CG397" s="84"/>
      <c r="CK397" s="85"/>
      <c r="CL397" s="85"/>
      <c r="CM397" s="84"/>
      <c r="CO397" s="84"/>
      <c r="CT397" s="84"/>
      <c r="CY397" s="84"/>
      <c r="DC397" s="84"/>
      <c r="DG397" s="84"/>
      <c r="DK397" s="84"/>
      <c r="DO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5"/>
      <c r="AM398" s="84"/>
      <c r="AN398" s="84"/>
      <c r="AP398" s="84"/>
      <c r="AU398" s="84"/>
      <c r="AY398" s="86"/>
      <c r="BE398" s="84"/>
      <c r="BJ398" s="84"/>
      <c r="BO398" s="84"/>
      <c r="BT398" s="84"/>
      <c r="BY398" s="84"/>
      <c r="CC398" s="84"/>
      <c r="CG398" s="84"/>
      <c r="CK398" s="85"/>
      <c r="CL398" s="85"/>
      <c r="CM398" s="84"/>
      <c r="CO398" s="84"/>
      <c r="CT398" s="84"/>
      <c r="CY398" s="84"/>
      <c r="DC398" s="84"/>
      <c r="DG398" s="84"/>
      <c r="DK398" s="84"/>
      <c r="DO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5"/>
      <c r="AM399" s="84"/>
      <c r="AN399" s="84"/>
      <c r="AP399" s="84"/>
      <c r="AU399" s="84"/>
      <c r="AY399" s="86"/>
      <c r="BE399" s="84"/>
      <c r="BJ399" s="84"/>
      <c r="BO399" s="84"/>
      <c r="BT399" s="84"/>
      <c r="BY399" s="84"/>
      <c r="CC399" s="84"/>
      <c r="CG399" s="84"/>
      <c r="CK399" s="85"/>
      <c r="CL399" s="85"/>
      <c r="CM399" s="84"/>
      <c r="CO399" s="84"/>
      <c r="CT399" s="84"/>
      <c r="CY399" s="84"/>
      <c r="DC399" s="84"/>
      <c r="DG399" s="84"/>
      <c r="DK399" s="84"/>
      <c r="DO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5"/>
      <c r="AM400" s="84"/>
      <c r="AN400" s="84"/>
      <c r="AP400" s="84"/>
      <c r="AU400" s="84"/>
      <c r="AY400" s="86"/>
      <c r="BE400" s="84"/>
      <c r="BJ400" s="84"/>
      <c r="BO400" s="84"/>
      <c r="BT400" s="84"/>
      <c r="BY400" s="84"/>
      <c r="CC400" s="84"/>
      <c r="CG400" s="84"/>
      <c r="CK400" s="85"/>
      <c r="CL400" s="85"/>
      <c r="CM400" s="84"/>
      <c r="CO400" s="84"/>
      <c r="CT400" s="84"/>
      <c r="CY400" s="84"/>
      <c r="DC400" s="84"/>
      <c r="DG400" s="84"/>
      <c r="DK400" s="84"/>
      <c r="DO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5"/>
      <c r="AM401" s="84"/>
      <c r="AN401" s="84"/>
      <c r="AP401" s="84"/>
      <c r="AU401" s="84"/>
      <c r="AY401" s="86"/>
      <c r="BE401" s="84"/>
      <c r="BJ401" s="84"/>
      <c r="BO401" s="84"/>
      <c r="BT401" s="84"/>
      <c r="BY401" s="84"/>
      <c r="CC401" s="84"/>
      <c r="CG401" s="84"/>
      <c r="CK401" s="85"/>
      <c r="CL401" s="85"/>
      <c r="CM401" s="84"/>
      <c r="CO401" s="84"/>
      <c r="CT401" s="84"/>
      <c r="CY401" s="84"/>
      <c r="DC401" s="84"/>
      <c r="DG401" s="84"/>
      <c r="DK401" s="84"/>
      <c r="DO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5"/>
      <c r="AM402" s="84"/>
      <c r="AN402" s="84"/>
      <c r="AP402" s="84"/>
      <c r="AU402" s="84"/>
      <c r="AY402" s="86"/>
      <c r="BE402" s="84"/>
      <c r="BJ402" s="84"/>
      <c r="BO402" s="84"/>
      <c r="BT402" s="84"/>
      <c r="BY402" s="84"/>
      <c r="CC402" s="84"/>
      <c r="CG402" s="84"/>
      <c r="CK402" s="85"/>
      <c r="CL402" s="85"/>
      <c r="CM402" s="84"/>
      <c r="CO402" s="84"/>
      <c r="CT402" s="84"/>
      <c r="CY402" s="84"/>
      <c r="DC402" s="84"/>
      <c r="DG402" s="84"/>
      <c r="DK402" s="84"/>
      <c r="DO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5"/>
      <c r="AM403" s="84"/>
      <c r="AN403" s="84"/>
      <c r="AP403" s="84"/>
      <c r="AU403" s="84"/>
      <c r="AY403" s="86"/>
      <c r="BE403" s="84"/>
      <c r="BJ403" s="84"/>
      <c r="BO403" s="84"/>
      <c r="BT403" s="84"/>
      <c r="BY403" s="84"/>
      <c r="CC403" s="84"/>
      <c r="CG403" s="84"/>
      <c r="CK403" s="85"/>
      <c r="CL403" s="85"/>
      <c r="CM403" s="84"/>
      <c r="CO403" s="84"/>
      <c r="CT403" s="84"/>
      <c r="CY403" s="84"/>
      <c r="DC403" s="84"/>
      <c r="DG403" s="84"/>
      <c r="DK403" s="84"/>
      <c r="DO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5"/>
      <c r="AM404" s="84"/>
      <c r="AN404" s="84"/>
      <c r="AP404" s="84"/>
      <c r="AU404" s="84"/>
      <c r="AY404" s="86"/>
      <c r="BE404" s="84"/>
      <c r="BJ404" s="84"/>
      <c r="BO404" s="84"/>
      <c r="BT404" s="84"/>
      <c r="BY404" s="84"/>
      <c r="CC404" s="84"/>
      <c r="CG404" s="84"/>
      <c r="CK404" s="85"/>
      <c r="CL404" s="85"/>
      <c r="CM404" s="84"/>
      <c r="CO404" s="84"/>
      <c r="CT404" s="84"/>
      <c r="CY404" s="84"/>
      <c r="DC404" s="84"/>
      <c r="DG404" s="84"/>
      <c r="DK404" s="84"/>
      <c r="DO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5"/>
      <c r="AM405" s="84"/>
      <c r="AN405" s="84"/>
      <c r="AP405" s="84"/>
      <c r="AU405" s="84"/>
      <c r="AY405" s="86"/>
      <c r="BE405" s="84"/>
      <c r="BJ405" s="84"/>
      <c r="BO405" s="84"/>
      <c r="BT405" s="84"/>
      <c r="BY405" s="84"/>
      <c r="CC405" s="84"/>
      <c r="CG405" s="84"/>
      <c r="CK405" s="85"/>
      <c r="CL405" s="85"/>
      <c r="CM405" s="84"/>
      <c r="CO405" s="84"/>
      <c r="CT405" s="84"/>
      <c r="CY405" s="84"/>
      <c r="DC405" s="84"/>
      <c r="DG405" s="84"/>
      <c r="DK405" s="84"/>
      <c r="DO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5"/>
      <c r="AM406" s="84"/>
      <c r="AN406" s="84"/>
      <c r="AP406" s="84"/>
      <c r="AU406" s="84"/>
      <c r="AY406" s="86"/>
      <c r="BE406" s="84"/>
      <c r="BJ406" s="84"/>
      <c r="BO406" s="84"/>
      <c r="BT406" s="84"/>
      <c r="BY406" s="84"/>
      <c r="CC406" s="84"/>
      <c r="CG406" s="84"/>
      <c r="CK406" s="85"/>
      <c r="CL406" s="85"/>
      <c r="CM406" s="84"/>
      <c r="CO406" s="84"/>
      <c r="CT406" s="84"/>
      <c r="CY406" s="84"/>
      <c r="DC406" s="84"/>
      <c r="DG406" s="84"/>
      <c r="DK406" s="84"/>
      <c r="DO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5"/>
      <c r="AM407" s="84"/>
      <c r="AN407" s="84"/>
      <c r="AP407" s="84"/>
      <c r="AU407" s="84"/>
      <c r="AY407" s="86"/>
      <c r="BE407" s="84"/>
      <c r="BJ407" s="84"/>
      <c r="BO407" s="84"/>
      <c r="BT407" s="84"/>
      <c r="BY407" s="84"/>
      <c r="CC407" s="84"/>
      <c r="CG407" s="84"/>
      <c r="CK407" s="85"/>
      <c r="CL407" s="85"/>
      <c r="CM407" s="84"/>
      <c r="CO407" s="84"/>
      <c r="CT407" s="84"/>
      <c r="CY407" s="84"/>
      <c r="DC407" s="84"/>
      <c r="DG407" s="84"/>
      <c r="DK407" s="84"/>
      <c r="DO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5"/>
      <c r="AM408" s="84"/>
      <c r="AN408" s="84"/>
      <c r="AP408" s="84"/>
      <c r="AU408" s="84"/>
      <c r="AY408" s="86"/>
      <c r="BE408" s="84"/>
      <c r="BJ408" s="84"/>
      <c r="BO408" s="84"/>
      <c r="BT408" s="84"/>
      <c r="BY408" s="84"/>
      <c r="CC408" s="84"/>
      <c r="CG408" s="84"/>
      <c r="CK408" s="85"/>
      <c r="CL408" s="85"/>
      <c r="CM408" s="84"/>
      <c r="CO408" s="84"/>
      <c r="CT408" s="84"/>
      <c r="CY408" s="84"/>
      <c r="DC408" s="84"/>
      <c r="DG408" s="84"/>
      <c r="DK408" s="84"/>
      <c r="DO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5"/>
      <c r="AM409" s="84"/>
      <c r="AN409" s="84"/>
      <c r="AP409" s="84"/>
      <c r="AU409" s="84"/>
      <c r="AY409" s="86"/>
      <c r="BE409" s="84"/>
      <c r="BJ409" s="84"/>
      <c r="BO409" s="84"/>
      <c r="BT409" s="84"/>
      <c r="BY409" s="84"/>
      <c r="CC409" s="84"/>
      <c r="CG409" s="84"/>
      <c r="CK409" s="85"/>
      <c r="CL409" s="85"/>
      <c r="CM409" s="84"/>
      <c r="CO409" s="84"/>
      <c r="CT409" s="84"/>
      <c r="CY409" s="84"/>
      <c r="DC409" s="84"/>
      <c r="DG409" s="84"/>
      <c r="DK409" s="84"/>
      <c r="DO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5"/>
      <c r="AM410" s="84"/>
      <c r="AN410" s="84"/>
      <c r="AP410" s="84"/>
      <c r="AU410" s="84"/>
      <c r="AY410" s="86"/>
      <c r="BE410" s="84"/>
      <c r="BJ410" s="84"/>
      <c r="BO410" s="84"/>
      <c r="BT410" s="84"/>
      <c r="BY410" s="84"/>
      <c r="CC410" s="84"/>
      <c r="CG410" s="84"/>
      <c r="CK410" s="85"/>
      <c r="CL410" s="85"/>
      <c r="CM410" s="84"/>
      <c r="CO410" s="84"/>
      <c r="CT410" s="84"/>
      <c r="CY410" s="84"/>
      <c r="DC410" s="84"/>
      <c r="DG410" s="84"/>
      <c r="DK410" s="84"/>
      <c r="DO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5"/>
      <c r="AM411" s="84"/>
      <c r="AN411" s="84"/>
      <c r="AP411" s="84"/>
      <c r="AU411" s="84"/>
      <c r="AY411" s="86"/>
      <c r="BE411" s="84"/>
      <c r="BJ411" s="84"/>
      <c r="BO411" s="84"/>
      <c r="BT411" s="84"/>
      <c r="BY411" s="84"/>
      <c r="CC411" s="84"/>
      <c r="CG411" s="84"/>
      <c r="CK411" s="85"/>
      <c r="CL411" s="85"/>
      <c r="CM411" s="84"/>
      <c r="CO411" s="84"/>
      <c r="CT411" s="84"/>
      <c r="CY411" s="84"/>
      <c r="DC411" s="84"/>
      <c r="DG411" s="84"/>
      <c r="DK411" s="84"/>
      <c r="DO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5"/>
      <c r="AM412" s="84"/>
      <c r="AN412" s="84"/>
      <c r="AP412" s="84"/>
      <c r="AU412" s="84"/>
      <c r="AY412" s="86"/>
      <c r="BE412" s="84"/>
      <c r="BJ412" s="84"/>
      <c r="BO412" s="84"/>
      <c r="BT412" s="84"/>
      <c r="BY412" s="84"/>
      <c r="CC412" s="84"/>
      <c r="CG412" s="84"/>
      <c r="CK412" s="85"/>
      <c r="CL412" s="85"/>
      <c r="CM412" s="84"/>
      <c r="CO412" s="84"/>
      <c r="CT412" s="84"/>
      <c r="CY412" s="84"/>
      <c r="DC412" s="84"/>
      <c r="DG412" s="84"/>
      <c r="DK412" s="84"/>
      <c r="DO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5"/>
      <c r="AM413" s="84"/>
      <c r="AN413" s="84"/>
      <c r="AP413" s="84"/>
      <c r="AU413" s="84"/>
      <c r="AY413" s="86"/>
      <c r="BE413" s="84"/>
      <c r="BJ413" s="84"/>
      <c r="BO413" s="84"/>
      <c r="BT413" s="84"/>
      <c r="BY413" s="84"/>
      <c r="CC413" s="84"/>
      <c r="CG413" s="84"/>
      <c r="CK413" s="85"/>
      <c r="CL413" s="85"/>
      <c r="CM413" s="84"/>
      <c r="CO413" s="84"/>
      <c r="CT413" s="84"/>
      <c r="CY413" s="84"/>
      <c r="DC413" s="84"/>
      <c r="DG413" s="84"/>
      <c r="DK413" s="84"/>
      <c r="DO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5"/>
      <c r="AM414" s="84"/>
      <c r="AN414" s="84"/>
      <c r="AP414" s="84"/>
      <c r="AU414" s="84"/>
      <c r="AY414" s="86"/>
      <c r="BE414" s="84"/>
      <c r="BJ414" s="84"/>
      <c r="BO414" s="84"/>
      <c r="BT414" s="84"/>
      <c r="BY414" s="84"/>
      <c r="CC414" s="84"/>
      <c r="CG414" s="84"/>
      <c r="CK414" s="85"/>
      <c r="CL414" s="85"/>
      <c r="CM414" s="84"/>
      <c r="CO414" s="84"/>
      <c r="CT414" s="84"/>
      <c r="CY414" s="84"/>
      <c r="DC414" s="84"/>
      <c r="DG414" s="84"/>
      <c r="DK414" s="84"/>
      <c r="DO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5"/>
      <c r="AM415" s="84"/>
      <c r="AN415" s="84"/>
      <c r="AP415" s="84"/>
      <c r="AU415" s="84"/>
      <c r="AY415" s="86"/>
      <c r="BE415" s="84"/>
      <c r="BJ415" s="84"/>
      <c r="BO415" s="84"/>
      <c r="BT415" s="84"/>
      <c r="BY415" s="84"/>
      <c r="CC415" s="84"/>
      <c r="CG415" s="84"/>
      <c r="CK415" s="85"/>
      <c r="CL415" s="85"/>
      <c r="CM415" s="84"/>
      <c r="CO415" s="84"/>
      <c r="CT415" s="84"/>
      <c r="CY415" s="84"/>
      <c r="DC415" s="84"/>
      <c r="DG415" s="84"/>
      <c r="DK415" s="84"/>
      <c r="DO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5"/>
      <c r="AM416" s="84"/>
      <c r="AN416" s="84"/>
      <c r="AP416" s="84"/>
      <c r="AU416" s="84"/>
      <c r="AY416" s="86"/>
      <c r="BE416" s="84"/>
      <c r="BJ416" s="84"/>
      <c r="BO416" s="84"/>
      <c r="BT416" s="84"/>
      <c r="BY416" s="84"/>
      <c r="CC416" s="84"/>
      <c r="CG416" s="84"/>
      <c r="CK416" s="85"/>
      <c r="CL416" s="85"/>
      <c r="CM416" s="84"/>
      <c r="CO416" s="84"/>
      <c r="CT416" s="84"/>
      <c r="CY416" s="84"/>
      <c r="DC416" s="84"/>
      <c r="DG416" s="84"/>
      <c r="DK416" s="84"/>
      <c r="DO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5"/>
      <c r="AM417" s="84"/>
      <c r="AN417" s="84"/>
      <c r="AP417" s="84"/>
      <c r="AU417" s="84"/>
      <c r="AY417" s="86"/>
      <c r="BE417" s="84"/>
      <c r="BJ417" s="84"/>
      <c r="BO417" s="84"/>
      <c r="BT417" s="84"/>
      <c r="BY417" s="84"/>
      <c r="CC417" s="84"/>
      <c r="CG417" s="84"/>
      <c r="CK417" s="85"/>
      <c r="CL417" s="85"/>
      <c r="CM417" s="84"/>
      <c r="CO417" s="84"/>
      <c r="CT417" s="84"/>
      <c r="CY417" s="84"/>
      <c r="DC417" s="84"/>
      <c r="DG417" s="84"/>
      <c r="DK417" s="84"/>
      <c r="DO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5"/>
      <c r="AM418" s="84"/>
      <c r="AN418" s="84"/>
      <c r="AP418" s="84"/>
      <c r="AU418" s="84"/>
      <c r="AY418" s="86"/>
      <c r="BE418" s="84"/>
      <c r="BJ418" s="84"/>
      <c r="BO418" s="84"/>
      <c r="BT418" s="84"/>
      <c r="BY418" s="84"/>
      <c r="CC418" s="84"/>
      <c r="CG418" s="84"/>
      <c r="CK418" s="85"/>
      <c r="CL418" s="85"/>
      <c r="CM418" s="84"/>
      <c r="CO418" s="84"/>
      <c r="CT418" s="84"/>
      <c r="CY418" s="84"/>
      <c r="DC418" s="84"/>
      <c r="DG418" s="84"/>
      <c r="DK418" s="84"/>
      <c r="DO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5"/>
      <c r="AM419" s="84"/>
      <c r="AN419" s="84"/>
      <c r="AP419" s="84"/>
      <c r="AU419" s="84"/>
      <c r="AY419" s="86"/>
      <c r="BE419" s="84"/>
      <c r="BJ419" s="84"/>
      <c r="BO419" s="84"/>
      <c r="BT419" s="84"/>
      <c r="BY419" s="84"/>
      <c r="CC419" s="84"/>
      <c r="CG419" s="84"/>
      <c r="CK419" s="85"/>
      <c r="CL419" s="85"/>
      <c r="CM419" s="84"/>
      <c r="CO419" s="84"/>
      <c r="CT419" s="84"/>
      <c r="CY419" s="84"/>
      <c r="DC419" s="84"/>
      <c r="DG419" s="84"/>
      <c r="DK419" s="84"/>
      <c r="DO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5"/>
      <c r="AM420" s="84"/>
      <c r="AN420" s="84"/>
      <c r="AP420" s="84"/>
      <c r="AU420" s="84"/>
      <c r="AY420" s="86"/>
      <c r="BE420" s="84"/>
      <c r="BJ420" s="84"/>
      <c r="BO420" s="84"/>
      <c r="BT420" s="84"/>
      <c r="BY420" s="84"/>
      <c r="CC420" s="84"/>
      <c r="CG420" s="84"/>
      <c r="CK420" s="85"/>
      <c r="CL420" s="85"/>
      <c r="CM420" s="84"/>
      <c r="CO420" s="84"/>
      <c r="CT420" s="84"/>
      <c r="CY420" s="84"/>
      <c r="DC420" s="84"/>
      <c r="DG420" s="84"/>
      <c r="DK420" s="84"/>
      <c r="DO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5"/>
      <c r="AM421" s="84"/>
      <c r="AN421" s="84"/>
      <c r="AP421" s="84"/>
      <c r="AU421" s="84"/>
      <c r="AY421" s="86"/>
      <c r="BE421" s="84"/>
      <c r="BJ421" s="84"/>
      <c r="BO421" s="84"/>
      <c r="BT421" s="84"/>
      <c r="BY421" s="84"/>
      <c r="CC421" s="84"/>
      <c r="CG421" s="84"/>
      <c r="CK421" s="85"/>
      <c r="CL421" s="85"/>
      <c r="CM421" s="84"/>
      <c r="CO421" s="84"/>
      <c r="CT421" s="84"/>
      <c r="CY421" s="84"/>
      <c r="DC421" s="84"/>
      <c r="DG421" s="84"/>
      <c r="DK421" s="84"/>
      <c r="DO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5"/>
      <c r="AM422" s="84"/>
      <c r="AN422" s="84"/>
      <c r="AP422" s="84"/>
      <c r="AU422" s="84"/>
      <c r="AY422" s="86"/>
      <c r="BE422" s="84"/>
      <c r="BJ422" s="84"/>
      <c r="BO422" s="84"/>
      <c r="BT422" s="84"/>
      <c r="BY422" s="84"/>
      <c r="CC422" s="84"/>
      <c r="CG422" s="84"/>
      <c r="CK422" s="85"/>
      <c r="CL422" s="85"/>
      <c r="CM422" s="84"/>
      <c r="CO422" s="84"/>
      <c r="CT422" s="84"/>
      <c r="CY422" s="84"/>
      <c r="DC422" s="84"/>
      <c r="DG422" s="84"/>
      <c r="DK422" s="84"/>
      <c r="DO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5"/>
      <c r="AM423" s="84"/>
      <c r="AN423" s="84"/>
      <c r="AP423" s="84"/>
      <c r="AU423" s="84"/>
      <c r="AY423" s="86"/>
      <c r="BE423" s="84"/>
      <c r="BJ423" s="84"/>
      <c r="BO423" s="84"/>
      <c r="BT423" s="84"/>
      <c r="BY423" s="84"/>
      <c r="CC423" s="84"/>
      <c r="CG423" s="84"/>
      <c r="CK423" s="85"/>
      <c r="CL423" s="85"/>
      <c r="CM423" s="84"/>
      <c r="CO423" s="84"/>
      <c r="CT423" s="84"/>
      <c r="CY423" s="84"/>
      <c r="DC423" s="84"/>
      <c r="DG423" s="84"/>
      <c r="DK423" s="84"/>
      <c r="DO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5"/>
      <c r="AM424" s="84"/>
      <c r="AN424" s="84"/>
      <c r="AP424" s="84"/>
      <c r="AU424" s="84"/>
      <c r="AY424" s="86"/>
      <c r="BE424" s="84"/>
      <c r="BJ424" s="84"/>
      <c r="BO424" s="84"/>
      <c r="BT424" s="84"/>
      <c r="BY424" s="84"/>
      <c r="CC424" s="84"/>
      <c r="CG424" s="84"/>
      <c r="CK424" s="85"/>
      <c r="CL424" s="85"/>
      <c r="CM424" s="84"/>
      <c r="CO424" s="84"/>
      <c r="CT424" s="84"/>
      <c r="CY424" s="84"/>
      <c r="DC424" s="84"/>
      <c r="DG424" s="84"/>
      <c r="DK424" s="84"/>
      <c r="DO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5"/>
      <c r="AM425" s="84"/>
      <c r="AN425" s="84"/>
      <c r="AP425" s="84"/>
      <c r="AU425" s="84"/>
      <c r="AY425" s="86"/>
      <c r="BE425" s="84"/>
      <c r="BJ425" s="84"/>
      <c r="BO425" s="84"/>
      <c r="BT425" s="84"/>
      <c r="BY425" s="84"/>
      <c r="CC425" s="84"/>
      <c r="CG425" s="84"/>
      <c r="CK425" s="85"/>
      <c r="CL425" s="85"/>
      <c r="CM425" s="84"/>
      <c r="CO425" s="84"/>
      <c r="CT425" s="84"/>
      <c r="CY425" s="84"/>
      <c r="DC425" s="84"/>
      <c r="DG425" s="84"/>
      <c r="DK425" s="84"/>
      <c r="DO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5"/>
      <c r="AM426" s="84"/>
      <c r="AN426" s="84"/>
      <c r="AP426" s="84"/>
      <c r="AU426" s="84"/>
      <c r="AY426" s="86"/>
      <c r="BE426" s="84"/>
      <c r="BJ426" s="84"/>
      <c r="BO426" s="84"/>
      <c r="BT426" s="84"/>
      <c r="BY426" s="84"/>
      <c r="CC426" s="84"/>
      <c r="CG426" s="84"/>
      <c r="CK426" s="85"/>
      <c r="CL426" s="85"/>
      <c r="CM426" s="84"/>
      <c r="CO426" s="84"/>
      <c r="CT426" s="84"/>
      <c r="CY426" s="84"/>
      <c r="DC426" s="84"/>
      <c r="DG426" s="84"/>
      <c r="DK426" s="84"/>
      <c r="DO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5"/>
      <c r="AM427" s="84"/>
      <c r="AN427" s="84"/>
      <c r="AP427" s="84"/>
      <c r="AU427" s="84"/>
      <c r="AY427" s="86"/>
      <c r="BE427" s="84"/>
      <c r="BJ427" s="84"/>
      <c r="BO427" s="84"/>
      <c r="BT427" s="84"/>
      <c r="BY427" s="84"/>
      <c r="CC427" s="84"/>
      <c r="CG427" s="84"/>
      <c r="CK427" s="85"/>
      <c r="CL427" s="85"/>
      <c r="CM427" s="84"/>
      <c r="CO427" s="84"/>
      <c r="CT427" s="84"/>
      <c r="CY427" s="84"/>
      <c r="DC427" s="84"/>
      <c r="DG427" s="84"/>
      <c r="DK427" s="84"/>
      <c r="DO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5"/>
      <c r="AM428" s="84"/>
      <c r="AN428" s="84"/>
      <c r="AP428" s="84"/>
      <c r="AU428" s="84"/>
      <c r="AY428" s="86"/>
      <c r="BE428" s="84"/>
      <c r="BJ428" s="84"/>
      <c r="BO428" s="84"/>
      <c r="BT428" s="84"/>
      <c r="BY428" s="84"/>
      <c r="CC428" s="84"/>
      <c r="CG428" s="84"/>
      <c r="CK428" s="85"/>
      <c r="CL428" s="85"/>
      <c r="CM428" s="84"/>
      <c r="CO428" s="84"/>
      <c r="CT428" s="84"/>
      <c r="CY428" s="84"/>
      <c r="DC428" s="84"/>
      <c r="DG428" s="84"/>
      <c r="DK428" s="84"/>
      <c r="DO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5"/>
      <c r="AM429" s="84"/>
      <c r="AN429" s="84"/>
      <c r="AP429" s="84"/>
      <c r="AU429" s="84"/>
      <c r="AY429" s="86"/>
      <c r="BE429" s="84"/>
      <c r="BJ429" s="84"/>
      <c r="BO429" s="84"/>
      <c r="BT429" s="84"/>
      <c r="BY429" s="84"/>
      <c r="CC429" s="84"/>
      <c r="CG429" s="84"/>
      <c r="CK429" s="85"/>
      <c r="CL429" s="85"/>
      <c r="CM429" s="84"/>
      <c r="CO429" s="84"/>
      <c r="CT429" s="84"/>
      <c r="CY429" s="84"/>
      <c r="DC429" s="84"/>
      <c r="DG429" s="84"/>
      <c r="DK429" s="84"/>
      <c r="DO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5"/>
      <c r="AM430" s="84"/>
      <c r="AN430" s="84"/>
      <c r="AP430" s="84"/>
      <c r="AU430" s="84"/>
      <c r="AY430" s="86"/>
      <c r="BE430" s="84"/>
      <c r="BJ430" s="84"/>
      <c r="BO430" s="84"/>
      <c r="BT430" s="84"/>
      <c r="BY430" s="84"/>
      <c r="CC430" s="84"/>
      <c r="CG430" s="84"/>
      <c r="CK430" s="85"/>
      <c r="CL430" s="85"/>
      <c r="CM430" s="84"/>
      <c r="CO430" s="84"/>
      <c r="CT430" s="84"/>
      <c r="CY430" s="84"/>
      <c r="DC430" s="84"/>
      <c r="DG430" s="84"/>
      <c r="DK430" s="84"/>
      <c r="DO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5"/>
      <c r="AM431" s="84"/>
      <c r="AN431" s="84"/>
      <c r="AP431" s="84"/>
      <c r="AU431" s="84"/>
      <c r="AY431" s="86"/>
      <c r="BE431" s="84"/>
      <c r="BJ431" s="84"/>
      <c r="BO431" s="84"/>
      <c r="BT431" s="84"/>
      <c r="BY431" s="84"/>
      <c r="CC431" s="84"/>
      <c r="CG431" s="84"/>
      <c r="CK431" s="85"/>
      <c r="CL431" s="85"/>
      <c r="CM431" s="84"/>
      <c r="CO431" s="84"/>
      <c r="CT431" s="84"/>
      <c r="CY431" s="84"/>
      <c r="DC431" s="84"/>
      <c r="DG431" s="84"/>
      <c r="DK431" s="84"/>
      <c r="DO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5"/>
      <c r="AM432" s="84"/>
      <c r="AN432" s="84"/>
      <c r="AP432" s="84"/>
      <c r="AU432" s="84"/>
      <c r="AY432" s="86"/>
      <c r="BE432" s="84"/>
      <c r="BJ432" s="84"/>
      <c r="BO432" s="84"/>
      <c r="BT432" s="84"/>
      <c r="BY432" s="84"/>
      <c r="CC432" s="84"/>
      <c r="CG432" s="84"/>
      <c r="CK432" s="85"/>
      <c r="CL432" s="85"/>
      <c r="CM432" s="84"/>
      <c r="CO432" s="84"/>
      <c r="CT432" s="84"/>
      <c r="CY432" s="84"/>
      <c r="DC432" s="84"/>
      <c r="DG432" s="84"/>
      <c r="DK432" s="84"/>
      <c r="DO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5"/>
      <c r="AM433" s="84"/>
      <c r="AN433" s="84"/>
      <c r="AP433" s="84"/>
      <c r="AU433" s="84"/>
      <c r="AY433" s="86"/>
      <c r="BE433" s="84"/>
      <c r="BJ433" s="84"/>
      <c r="BO433" s="84"/>
      <c r="BT433" s="84"/>
      <c r="BY433" s="84"/>
      <c r="CC433" s="84"/>
      <c r="CG433" s="84"/>
      <c r="CK433" s="85"/>
      <c r="CL433" s="85"/>
      <c r="CM433" s="84"/>
      <c r="CO433" s="84"/>
      <c r="CT433" s="84"/>
      <c r="CY433" s="84"/>
      <c r="DC433" s="84"/>
      <c r="DG433" s="84"/>
      <c r="DK433" s="84"/>
      <c r="DO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5"/>
      <c r="AM434" s="84"/>
      <c r="AN434" s="84"/>
      <c r="AP434" s="84"/>
      <c r="AU434" s="84"/>
      <c r="AY434" s="86"/>
      <c r="BE434" s="84"/>
      <c r="BJ434" s="84"/>
      <c r="BO434" s="84"/>
      <c r="BT434" s="84"/>
      <c r="BY434" s="84"/>
      <c r="CC434" s="84"/>
      <c r="CG434" s="84"/>
      <c r="CK434" s="85"/>
      <c r="CL434" s="85"/>
      <c r="CM434" s="84"/>
      <c r="CO434" s="84"/>
      <c r="CT434" s="84"/>
      <c r="CY434" s="84"/>
      <c r="DC434" s="84"/>
      <c r="DG434" s="84"/>
      <c r="DK434" s="84"/>
      <c r="DO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5"/>
      <c r="AM435" s="84"/>
      <c r="AN435" s="84"/>
      <c r="AP435" s="84"/>
      <c r="AU435" s="84"/>
      <c r="AY435" s="86"/>
      <c r="BE435" s="84"/>
      <c r="BJ435" s="84"/>
      <c r="BO435" s="84"/>
      <c r="BT435" s="84"/>
      <c r="BY435" s="84"/>
      <c r="CC435" s="84"/>
      <c r="CG435" s="84"/>
      <c r="CK435" s="85"/>
      <c r="CL435" s="85"/>
      <c r="CM435" s="84"/>
      <c r="CO435" s="84"/>
      <c r="CT435" s="84"/>
      <c r="CY435" s="84"/>
      <c r="DC435" s="84"/>
      <c r="DG435" s="84"/>
      <c r="DK435" s="84"/>
      <c r="DO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5"/>
      <c r="AM436" s="84"/>
      <c r="AN436" s="84"/>
      <c r="AP436" s="84"/>
      <c r="AU436" s="84"/>
      <c r="AY436" s="86"/>
      <c r="BE436" s="84"/>
      <c r="BJ436" s="84"/>
      <c r="BO436" s="84"/>
      <c r="BT436" s="84"/>
      <c r="BY436" s="84"/>
      <c r="CC436" s="84"/>
      <c r="CG436" s="84"/>
      <c r="CK436" s="85"/>
      <c r="CL436" s="85"/>
      <c r="CM436" s="84"/>
      <c r="CO436" s="84"/>
      <c r="CT436" s="84"/>
      <c r="CY436" s="84"/>
      <c r="DC436" s="84"/>
      <c r="DG436" s="84"/>
      <c r="DK436" s="84"/>
      <c r="DO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5"/>
      <c r="AM437" s="84"/>
      <c r="AN437" s="84"/>
      <c r="AP437" s="84"/>
      <c r="AU437" s="84"/>
      <c r="AY437" s="86"/>
      <c r="BE437" s="84"/>
      <c r="BJ437" s="84"/>
      <c r="BO437" s="84"/>
      <c r="BT437" s="84"/>
      <c r="BY437" s="84"/>
      <c r="CC437" s="84"/>
      <c r="CG437" s="84"/>
      <c r="CK437" s="85"/>
      <c r="CL437" s="85"/>
      <c r="CM437" s="84"/>
      <c r="CO437" s="84"/>
      <c r="CT437" s="84"/>
      <c r="CY437" s="84"/>
      <c r="DC437" s="84"/>
      <c r="DG437" s="84"/>
      <c r="DK437" s="84"/>
      <c r="DO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5"/>
      <c r="AM438" s="84"/>
      <c r="AN438" s="84"/>
      <c r="AP438" s="84"/>
      <c r="AU438" s="84"/>
      <c r="AY438" s="86"/>
      <c r="BE438" s="84"/>
      <c r="BJ438" s="84"/>
      <c r="BO438" s="84"/>
      <c r="BT438" s="84"/>
      <c r="BY438" s="84"/>
      <c r="CC438" s="84"/>
      <c r="CG438" s="84"/>
      <c r="CK438" s="85"/>
      <c r="CL438" s="85"/>
      <c r="CM438" s="84"/>
      <c r="CO438" s="84"/>
      <c r="CT438" s="84"/>
      <c r="CY438" s="84"/>
      <c r="DC438" s="84"/>
      <c r="DG438" s="84"/>
      <c r="DK438" s="84"/>
      <c r="DO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5"/>
      <c r="AM439" s="84"/>
      <c r="AN439" s="84"/>
      <c r="AP439" s="84"/>
      <c r="AU439" s="84"/>
      <c r="AY439" s="86"/>
      <c r="BE439" s="84"/>
      <c r="BJ439" s="84"/>
      <c r="BO439" s="84"/>
      <c r="BT439" s="84"/>
      <c r="BY439" s="84"/>
      <c r="CC439" s="84"/>
      <c r="CG439" s="84"/>
      <c r="CK439" s="85"/>
      <c r="CL439" s="85"/>
      <c r="CM439" s="84"/>
      <c r="CO439" s="84"/>
      <c r="CT439" s="84"/>
      <c r="CY439" s="84"/>
      <c r="DC439" s="84"/>
      <c r="DG439" s="84"/>
      <c r="DK439" s="84"/>
      <c r="DO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5"/>
      <c r="AM440" s="84"/>
      <c r="AN440" s="84"/>
      <c r="AP440" s="84"/>
      <c r="AU440" s="84"/>
      <c r="AY440" s="86"/>
      <c r="BE440" s="84"/>
      <c r="BJ440" s="84"/>
      <c r="BO440" s="84"/>
      <c r="BT440" s="84"/>
      <c r="BY440" s="84"/>
      <c r="CC440" s="84"/>
      <c r="CG440" s="84"/>
      <c r="CK440" s="85"/>
      <c r="CL440" s="85"/>
      <c r="CM440" s="84"/>
      <c r="CO440" s="84"/>
      <c r="CT440" s="84"/>
      <c r="CY440" s="84"/>
      <c r="DC440" s="84"/>
      <c r="DG440" s="84"/>
      <c r="DK440" s="84"/>
      <c r="DO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5"/>
      <c r="AM441" s="84"/>
      <c r="AN441" s="84"/>
      <c r="AP441" s="84"/>
      <c r="AU441" s="84"/>
      <c r="AY441" s="86"/>
      <c r="BE441" s="84"/>
      <c r="BJ441" s="84"/>
      <c r="BO441" s="84"/>
      <c r="BT441" s="84"/>
      <c r="BY441" s="84"/>
      <c r="CC441" s="84"/>
      <c r="CG441" s="84"/>
      <c r="CK441" s="85"/>
      <c r="CL441" s="85"/>
      <c r="CM441" s="84"/>
      <c r="CO441" s="84"/>
      <c r="CT441" s="84"/>
      <c r="CY441" s="84"/>
      <c r="DC441" s="84"/>
      <c r="DG441" s="84"/>
      <c r="DK441" s="84"/>
      <c r="DO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5"/>
      <c r="AM442" s="84"/>
      <c r="AN442" s="84"/>
      <c r="AP442" s="84"/>
      <c r="AU442" s="84"/>
      <c r="AY442" s="86"/>
      <c r="BE442" s="84"/>
      <c r="BJ442" s="84"/>
      <c r="BO442" s="84"/>
      <c r="BT442" s="84"/>
      <c r="BY442" s="84"/>
      <c r="CC442" s="84"/>
      <c r="CG442" s="84"/>
      <c r="CK442" s="85"/>
      <c r="CL442" s="85"/>
      <c r="CM442" s="84"/>
      <c r="CO442" s="84"/>
      <c r="CT442" s="84"/>
      <c r="CY442" s="84"/>
      <c r="DC442" s="84"/>
      <c r="DG442" s="84"/>
      <c r="DK442" s="84"/>
      <c r="DO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5"/>
      <c r="AM443" s="84"/>
      <c r="AN443" s="84"/>
      <c r="AP443" s="84"/>
      <c r="AU443" s="84"/>
      <c r="AY443" s="86"/>
      <c r="BE443" s="84"/>
      <c r="BJ443" s="84"/>
      <c r="BO443" s="84"/>
      <c r="BT443" s="84"/>
      <c r="BY443" s="84"/>
      <c r="CC443" s="84"/>
      <c r="CG443" s="84"/>
      <c r="CK443" s="85"/>
      <c r="CL443" s="85"/>
      <c r="CM443" s="84"/>
      <c r="CO443" s="84"/>
      <c r="CT443" s="84"/>
      <c r="CY443" s="84"/>
      <c r="DC443" s="84"/>
      <c r="DG443" s="84"/>
      <c r="DK443" s="84"/>
      <c r="DO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5"/>
      <c r="AM444" s="84"/>
      <c r="AN444" s="84"/>
      <c r="AP444" s="84"/>
      <c r="AU444" s="84"/>
      <c r="AY444" s="86"/>
      <c r="BE444" s="84"/>
      <c r="BJ444" s="84"/>
      <c r="BO444" s="84"/>
      <c r="BT444" s="84"/>
      <c r="BY444" s="84"/>
      <c r="CC444" s="84"/>
      <c r="CG444" s="84"/>
      <c r="CK444" s="85"/>
      <c r="CL444" s="85"/>
      <c r="CM444" s="84"/>
      <c r="CO444" s="84"/>
      <c r="CT444" s="84"/>
      <c r="CY444" s="84"/>
      <c r="DC444" s="84"/>
      <c r="DG444" s="84"/>
      <c r="DK444" s="84"/>
      <c r="DO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5"/>
      <c r="AM445" s="84"/>
      <c r="AN445" s="84"/>
      <c r="AP445" s="84"/>
      <c r="AU445" s="84"/>
      <c r="AY445" s="86"/>
      <c r="BE445" s="84"/>
      <c r="BJ445" s="84"/>
      <c r="BO445" s="84"/>
      <c r="BT445" s="84"/>
      <c r="BY445" s="84"/>
      <c r="CC445" s="84"/>
      <c r="CG445" s="84"/>
      <c r="CK445" s="85"/>
      <c r="CL445" s="85"/>
      <c r="CM445" s="84"/>
      <c r="CO445" s="84"/>
      <c r="CT445" s="84"/>
      <c r="CY445" s="84"/>
      <c r="DC445" s="84"/>
      <c r="DG445" s="84"/>
      <c r="DK445" s="84"/>
      <c r="DO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5"/>
      <c r="AM446" s="84"/>
      <c r="AN446" s="84"/>
      <c r="AP446" s="84"/>
      <c r="AU446" s="84"/>
      <c r="AY446" s="86"/>
      <c r="BE446" s="84"/>
      <c r="BJ446" s="84"/>
      <c r="BO446" s="84"/>
      <c r="BT446" s="84"/>
      <c r="BY446" s="84"/>
      <c r="CC446" s="84"/>
      <c r="CG446" s="84"/>
      <c r="CK446" s="85"/>
      <c r="CL446" s="85"/>
      <c r="CM446" s="84"/>
      <c r="CO446" s="84"/>
      <c r="CT446" s="84"/>
      <c r="CY446" s="84"/>
      <c r="DC446" s="84"/>
      <c r="DG446" s="84"/>
      <c r="DK446" s="84"/>
      <c r="DO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5"/>
      <c r="AM447" s="84"/>
      <c r="AN447" s="84"/>
      <c r="AP447" s="84"/>
      <c r="AU447" s="84"/>
      <c r="AY447" s="86"/>
      <c r="BE447" s="84"/>
      <c r="BJ447" s="84"/>
      <c r="BO447" s="84"/>
      <c r="BT447" s="84"/>
      <c r="BY447" s="84"/>
      <c r="CC447" s="84"/>
      <c r="CG447" s="84"/>
      <c r="CK447" s="85"/>
      <c r="CL447" s="85"/>
      <c r="CM447" s="84"/>
      <c r="CO447" s="84"/>
      <c r="CT447" s="84"/>
      <c r="CY447" s="84"/>
      <c r="DC447" s="84"/>
      <c r="DG447" s="84"/>
      <c r="DK447" s="84"/>
      <c r="DO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5"/>
      <c r="AM448" s="84"/>
      <c r="AN448" s="84"/>
      <c r="AP448" s="84"/>
      <c r="AU448" s="84"/>
      <c r="AY448" s="86"/>
      <c r="BE448" s="84"/>
      <c r="BJ448" s="84"/>
      <c r="BO448" s="84"/>
      <c r="BT448" s="84"/>
      <c r="BY448" s="84"/>
      <c r="CC448" s="84"/>
      <c r="CG448" s="84"/>
      <c r="CK448" s="85"/>
      <c r="CL448" s="85"/>
      <c r="CM448" s="84"/>
      <c r="CO448" s="84"/>
      <c r="CT448" s="84"/>
      <c r="CY448" s="84"/>
      <c r="DC448" s="84"/>
      <c r="DG448" s="84"/>
      <c r="DK448" s="84"/>
      <c r="DO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5"/>
      <c r="AM449" s="84"/>
      <c r="AN449" s="84"/>
      <c r="AP449" s="84"/>
      <c r="AU449" s="84"/>
      <c r="AY449" s="86"/>
      <c r="BE449" s="84"/>
      <c r="BJ449" s="84"/>
      <c r="BO449" s="84"/>
      <c r="BT449" s="84"/>
      <c r="BY449" s="84"/>
      <c r="CC449" s="84"/>
      <c r="CG449" s="84"/>
      <c r="CK449" s="85"/>
      <c r="CL449" s="85"/>
      <c r="CM449" s="84"/>
      <c r="CO449" s="84"/>
      <c r="CT449" s="84"/>
      <c r="CY449" s="84"/>
      <c r="DC449" s="84"/>
      <c r="DG449" s="84"/>
      <c r="DK449" s="84"/>
      <c r="DO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5"/>
      <c r="AM450" s="84"/>
      <c r="AN450" s="84"/>
      <c r="AP450" s="84"/>
      <c r="AU450" s="84"/>
      <c r="AY450" s="86"/>
      <c r="BE450" s="84"/>
      <c r="BJ450" s="84"/>
      <c r="BO450" s="84"/>
      <c r="BT450" s="84"/>
      <c r="BY450" s="84"/>
      <c r="CC450" s="84"/>
      <c r="CG450" s="84"/>
      <c r="CK450" s="85"/>
      <c r="CL450" s="85"/>
      <c r="CM450" s="84"/>
      <c r="CO450" s="84"/>
      <c r="CT450" s="84"/>
      <c r="CY450" s="84"/>
      <c r="DC450" s="84"/>
      <c r="DG450" s="84"/>
      <c r="DK450" s="84"/>
      <c r="DO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5"/>
      <c r="AM451" s="84"/>
      <c r="AN451" s="84"/>
      <c r="AP451" s="84"/>
      <c r="AU451" s="84"/>
      <c r="AY451" s="86"/>
      <c r="BE451" s="84"/>
      <c r="BJ451" s="84"/>
      <c r="BO451" s="84"/>
      <c r="BT451" s="84"/>
      <c r="BY451" s="84"/>
      <c r="CC451" s="84"/>
      <c r="CG451" s="84"/>
      <c r="CK451" s="85"/>
      <c r="CL451" s="85"/>
      <c r="CM451" s="84"/>
      <c r="CO451" s="84"/>
      <c r="CT451" s="84"/>
      <c r="CY451" s="84"/>
      <c r="DC451" s="84"/>
      <c r="DG451" s="84"/>
      <c r="DK451" s="84"/>
      <c r="DO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5"/>
      <c r="AM452" s="84"/>
      <c r="AN452" s="84"/>
      <c r="AP452" s="84"/>
      <c r="AU452" s="84"/>
      <c r="AY452" s="86"/>
      <c r="BE452" s="84"/>
      <c r="BJ452" s="84"/>
      <c r="BO452" s="84"/>
      <c r="BT452" s="84"/>
      <c r="BY452" s="84"/>
      <c r="CC452" s="84"/>
      <c r="CG452" s="84"/>
      <c r="CK452" s="85"/>
      <c r="CL452" s="85"/>
      <c r="CM452" s="84"/>
      <c r="CO452" s="84"/>
      <c r="CT452" s="84"/>
      <c r="CY452" s="84"/>
      <c r="DC452" s="84"/>
      <c r="DG452" s="84"/>
      <c r="DK452" s="84"/>
      <c r="DO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5"/>
      <c r="AM453" s="84"/>
      <c r="AN453" s="84"/>
      <c r="AP453" s="84"/>
      <c r="AU453" s="84"/>
      <c r="AY453" s="86"/>
      <c r="BE453" s="84"/>
      <c r="BJ453" s="84"/>
      <c r="BO453" s="84"/>
      <c r="BT453" s="84"/>
      <c r="BY453" s="84"/>
      <c r="CC453" s="84"/>
      <c r="CG453" s="84"/>
      <c r="CK453" s="85"/>
      <c r="CL453" s="85"/>
      <c r="CM453" s="84"/>
      <c r="CO453" s="84"/>
      <c r="CT453" s="84"/>
      <c r="CY453" s="84"/>
      <c r="DC453" s="84"/>
      <c r="DG453" s="84"/>
      <c r="DK453" s="84"/>
      <c r="DO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5"/>
      <c r="AM454" s="84"/>
      <c r="AN454" s="84"/>
      <c r="AP454" s="84"/>
      <c r="AU454" s="84"/>
      <c r="AY454" s="86"/>
      <c r="BE454" s="84"/>
      <c r="BJ454" s="84"/>
      <c r="BO454" s="84"/>
      <c r="BT454" s="84"/>
      <c r="BY454" s="84"/>
      <c r="CC454" s="84"/>
      <c r="CG454" s="84"/>
      <c r="CK454" s="85"/>
      <c r="CL454" s="85"/>
      <c r="CM454" s="84"/>
      <c r="CO454" s="84"/>
      <c r="CT454" s="84"/>
      <c r="CY454" s="84"/>
      <c r="DC454" s="84"/>
      <c r="DG454" s="84"/>
      <c r="DK454" s="84"/>
      <c r="DO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5"/>
      <c r="AM455" s="84"/>
      <c r="AN455" s="84"/>
      <c r="AP455" s="84"/>
      <c r="AU455" s="84"/>
      <c r="AY455" s="86"/>
      <c r="BE455" s="84"/>
      <c r="BJ455" s="84"/>
      <c r="BO455" s="84"/>
      <c r="BT455" s="84"/>
      <c r="BY455" s="84"/>
      <c r="CC455" s="84"/>
      <c r="CG455" s="84"/>
      <c r="CK455" s="85"/>
      <c r="CL455" s="85"/>
      <c r="CM455" s="84"/>
      <c r="CO455" s="84"/>
      <c r="CT455" s="84"/>
      <c r="CY455" s="84"/>
      <c r="DC455" s="84"/>
      <c r="DG455" s="84"/>
      <c r="DK455" s="84"/>
      <c r="DO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5"/>
      <c r="AM456" s="84"/>
      <c r="AN456" s="84"/>
      <c r="AP456" s="84"/>
      <c r="AU456" s="84"/>
      <c r="AY456" s="86"/>
      <c r="BE456" s="84"/>
      <c r="BJ456" s="84"/>
      <c r="BO456" s="84"/>
      <c r="BT456" s="84"/>
      <c r="BY456" s="84"/>
      <c r="CC456" s="84"/>
      <c r="CG456" s="84"/>
      <c r="CK456" s="85"/>
      <c r="CL456" s="85"/>
      <c r="CM456" s="84"/>
      <c r="CO456" s="84"/>
      <c r="CT456" s="84"/>
      <c r="CY456" s="84"/>
      <c r="DC456" s="84"/>
      <c r="DG456" s="84"/>
      <c r="DK456" s="84"/>
      <c r="DO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5"/>
      <c r="AM457" s="84"/>
      <c r="AN457" s="84"/>
      <c r="AP457" s="84"/>
      <c r="AU457" s="84"/>
      <c r="AY457" s="86"/>
      <c r="BE457" s="84"/>
      <c r="BJ457" s="84"/>
      <c r="BO457" s="84"/>
      <c r="BT457" s="84"/>
      <c r="BY457" s="84"/>
      <c r="CC457" s="84"/>
      <c r="CG457" s="84"/>
      <c r="CK457" s="85"/>
      <c r="CL457" s="85"/>
      <c r="CM457" s="84"/>
      <c r="CO457" s="84"/>
      <c r="CT457" s="84"/>
      <c r="CY457" s="84"/>
      <c r="DC457" s="84"/>
      <c r="DG457" s="84"/>
      <c r="DK457" s="84"/>
      <c r="DO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5"/>
      <c r="AM458" s="84"/>
      <c r="AN458" s="84"/>
      <c r="AP458" s="84"/>
      <c r="AU458" s="84"/>
      <c r="AY458" s="86"/>
      <c r="BE458" s="84"/>
      <c r="BJ458" s="84"/>
      <c r="BO458" s="84"/>
      <c r="BT458" s="84"/>
      <c r="BY458" s="84"/>
      <c r="CC458" s="84"/>
      <c r="CG458" s="84"/>
      <c r="CK458" s="85"/>
      <c r="CL458" s="85"/>
      <c r="CM458" s="84"/>
      <c r="CO458" s="84"/>
      <c r="CT458" s="84"/>
      <c r="CY458" s="84"/>
      <c r="DC458" s="84"/>
      <c r="DG458" s="84"/>
      <c r="DK458" s="84"/>
      <c r="DO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5"/>
      <c r="AM459" s="84"/>
      <c r="AN459" s="84"/>
      <c r="AP459" s="84"/>
      <c r="AU459" s="84"/>
      <c r="AY459" s="86"/>
      <c r="BE459" s="84"/>
      <c r="BJ459" s="84"/>
      <c r="BO459" s="84"/>
      <c r="BT459" s="84"/>
      <c r="BY459" s="84"/>
      <c r="CC459" s="84"/>
      <c r="CG459" s="84"/>
      <c r="CK459" s="85"/>
      <c r="CL459" s="85"/>
      <c r="CM459" s="84"/>
      <c r="CO459" s="84"/>
      <c r="CT459" s="84"/>
      <c r="CY459" s="84"/>
      <c r="DC459" s="84"/>
      <c r="DG459" s="84"/>
      <c r="DK459" s="84"/>
      <c r="DO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5"/>
      <c r="AM460" s="84"/>
      <c r="AN460" s="84"/>
      <c r="AP460" s="84"/>
      <c r="AU460" s="84"/>
      <c r="AY460" s="86"/>
      <c r="BE460" s="84"/>
      <c r="BJ460" s="84"/>
      <c r="BO460" s="84"/>
      <c r="BT460" s="84"/>
      <c r="BY460" s="84"/>
      <c r="CC460" s="84"/>
      <c r="CG460" s="84"/>
      <c r="CK460" s="85"/>
      <c r="CL460" s="85"/>
      <c r="CM460" s="84"/>
      <c r="CO460" s="84"/>
      <c r="CT460" s="84"/>
      <c r="CY460" s="84"/>
      <c r="DC460" s="84"/>
      <c r="DG460" s="84"/>
      <c r="DK460" s="84"/>
      <c r="DO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5"/>
      <c r="AM461" s="84"/>
      <c r="AN461" s="84"/>
      <c r="AP461" s="84"/>
      <c r="AU461" s="84"/>
      <c r="AY461" s="86"/>
      <c r="BE461" s="84"/>
      <c r="BJ461" s="84"/>
      <c r="BO461" s="84"/>
      <c r="BT461" s="84"/>
      <c r="BY461" s="84"/>
      <c r="CC461" s="84"/>
      <c r="CG461" s="84"/>
      <c r="CK461" s="85"/>
      <c r="CL461" s="85"/>
      <c r="CM461" s="84"/>
      <c r="CO461" s="84"/>
      <c r="CT461" s="84"/>
      <c r="CY461" s="84"/>
      <c r="DC461" s="84"/>
      <c r="DG461" s="84"/>
      <c r="DK461" s="84"/>
      <c r="DO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5"/>
      <c r="AM462" s="84"/>
      <c r="AN462" s="84"/>
      <c r="AP462" s="84"/>
      <c r="AU462" s="84"/>
      <c r="AY462" s="86"/>
      <c r="BE462" s="84"/>
      <c r="BJ462" s="84"/>
      <c r="BO462" s="84"/>
      <c r="BT462" s="84"/>
      <c r="BY462" s="84"/>
      <c r="CC462" s="84"/>
      <c r="CG462" s="84"/>
      <c r="CK462" s="85"/>
      <c r="CL462" s="85"/>
      <c r="CM462" s="84"/>
      <c r="CO462" s="84"/>
      <c r="CT462" s="84"/>
      <c r="CY462" s="84"/>
      <c r="DC462" s="84"/>
      <c r="DG462" s="84"/>
      <c r="DK462" s="84"/>
      <c r="DO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5"/>
      <c r="AM463" s="84"/>
      <c r="AN463" s="84"/>
      <c r="AP463" s="84"/>
      <c r="AU463" s="84"/>
      <c r="AY463" s="86"/>
      <c r="BE463" s="84"/>
      <c r="BJ463" s="84"/>
      <c r="BO463" s="84"/>
      <c r="BT463" s="84"/>
      <c r="BY463" s="84"/>
      <c r="CC463" s="84"/>
      <c r="CG463" s="84"/>
      <c r="CK463" s="85"/>
      <c r="CL463" s="85"/>
      <c r="CM463" s="84"/>
      <c r="CO463" s="84"/>
      <c r="CT463" s="84"/>
      <c r="CY463" s="84"/>
      <c r="DC463" s="84"/>
      <c r="DG463" s="84"/>
      <c r="DK463" s="84"/>
      <c r="DO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5"/>
      <c r="AM464" s="84"/>
      <c r="AN464" s="84"/>
      <c r="AP464" s="84"/>
      <c r="AU464" s="84"/>
      <c r="AY464" s="86"/>
      <c r="BE464" s="84"/>
      <c r="BJ464" s="84"/>
      <c r="BO464" s="84"/>
      <c r="BT464" s="84"/>
      <c r="BY464" s="84"/>
      <c r="CC464" s="84"/>
      <c r="CG464" s="84"/>
      <c r="CK464" s="85"/>
      <c r="CL464" s="85"/>
      <c r="CM464" s="84"/>
      <c r="CO464" s="84"/>
      <c r="CT464" s="84"/>
      <c r="CY464" s="84"/>
      <c r="DC464" s="84"/>
      <c r="DG464" s="84"/>
      <c r="DK464" s="84"/>
      <c r="DO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5"/>
      <c r="AM465" s="84"/>
      <c r="AN465" s="84"/>
      <c r="AP465" s="84"/>
      <c r="AU465" s="84"/>
      <c r="AY465" s="86"/>
      <c r="BE465" s="84"/>
      <c r="BJ465" s="84"/>
      <c r="BO465" s="84"/>
      <c r="BT465" s="84"/>
      <c r="BY465" s="84"/>
      <c r="CC465" s="84"/>
      <c r="CG465" s="84"/>
      <c r="CK465" s="85"/>
      <c r="CL465" s="85"/>
      <c r="CM465" s="84"/>
      <c r="CO465" s="84"/>
      <c r="CT465" s="84"/>
      <c r="CY465" s="84"/>
      <c r="DC465" s="84"/>
      <c r="DG465" s="84"/>
      <c r="DK465" s="84"/>
      <c r="DO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5"/>
      <c r="AM466" s="84"/>
      <c r="AN466" s="84"/>
      <c r="AP466" s="84"/>
      <c r="AU466" s="84"/>
      <c r="AY466" s="86"/>
      <c r="BE466" s="84"/>
      <c r="BJ466" s="84"/>
      <c r="BO466" s="84"/>
      <c r="BT466" s="84"/>
      <c r="BY466" s="84"/>
      <c r="CC466" s="84"/>
      <c r="CG466" s="84"/>
      <c r="CK466" s="85"/>
      <c r="CL466" s="85"/>
      <c r="CM466" s="84"/>
      <c r="CO466" s="84"/>
      <c r="CT466" s="84"/>
      <c r="CY466" s="84"/>
      <c r="DC466" s="84"/>
      <c r="DG466" s="84"/>
      <c r="DK466" s="84"/>
      <c r="DO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5"/>
      <c r="AM467" s="84"/>
      <c r="AN467" s="84"/>
      <c r="AP467" s="84"/>
      <c r="AU467" s="84"/>
      <c r="AY467" s="86"/>
      <c r="BE467" s="84"/>
      <c r="BJ467" s="84"/>
      <c r="BO467" s="84"/>
      <c r="BT467" s="84"/>
      <c r="BY467" s="84"/>
      <c r="CC467" s="84"/>
      <c r="CG467" s="84"/>
      <c r="CK467" s="85"/>
      <c r="CL467" s="85"/>
      <c r="CM467" s="84"/>
      <c r="CO467" s="84"/>
      <c r="CT467" s="84"/>
      <c r="CY467" s="84"/>
      <c r="DC467" s="84"/>
      <c r="DG467" s="84"/>
      <c r="DK467" s="84"/>
      <c r="DO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5"/>
      <c r="AM468" s="84"/>
      <c r="AN468" s="84"/>
      <c r="AP468" s="84"/>
      <c r="AU468" s="84"/>
      <c r="AY468" s="86"/>
      <c r="BE468" s="84"/>
      <c r="BJ468" s="84"/>
      <c r="BO468" s="84"/>
      <c r="BT468" s="84"/>
      <c r="BY468" s="84"/>
      <c r="CC468" s="84"/>
      <c r="CG468" s="84"/>
      <c r="CK468" s="85"/>
      <c r="CL468" s="85"/>
      <c r="CM468" s="84"/>
      <c r="CO468" s="84"/>
      <c r="CT468" s="84"/>
      <c r="CY468" s="84"/>
      <c r="DC468" s="84"/>
      <c r="DG468" s="84"/>
      <c r="DK468" s="84"/>
      <c r="DO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5"/>
      <c r="AM469" s="84"/>
      <c r="AN469" s="84"/>
      <c r="AP469" s="84"/>
      <c r="AU469" s="84"/>
      <c r="AY469" s="86"/>
      <c r="BE469" s="84"/>
      <c r="BJ469" s="84"/>
      <c r="BO469" s="84"/>
      <c r="BT469" s="84"/>
      <c r="BY469" s="84"/>
      <c r="CC469" s="84"/>
      <c r="CG469" s="84"/>
      <c r="CK469" s="85"/>
      <c r="CL469" s="85"/>
      <c r="CM469" s="84"/>
      <c r="CO469" s="84"/>
      <c r="CT469" s="84"/>
      <c r="CY469" s="84"/>
      <c r="DC469" s="84"/>
      <c r="DG469" s="84"/>
      <c r="DK469" s="84"/>
      <c r="DO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5"/>
      <c r="AM470" s="84"/>
      <c r="AN470" s="84"/>
      <c r="AP470" s="84"/>
      <c r="AU470" s="84"/>
      <c r="AY470" s="86"/>
      <c r="BE470" s="84"/>
      <c r="BJ470" s="84"/>
      <c r="BO470" s="84"/>
      <c r="BT470" s="84"/>
      <c r="BY470" s="84"/>
      <c r="CC470" s="84"/>
      <c r="CG470" s="84"/>
      <c r="CK470" s="85"/>
      <c r="CL470" s="85"/>
      <c r="CM470" s="84"/>
      <c r="CO470" s="84"/>
      <c r="CT470" s="84"/>
      <c r="CY470" s="84"/>
      <c r="DC470" s="84"/>
      <c r="DG470" s="84"/>
      <c r="DK470" s="84"/>
      <c r="DO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5"/>
      <c r="AM471" s="84"/>
      <c r="AN471" s="84"/>
      <c r="AP471" s="84"/>
      <c r="AU471" s="84"/>
      <c r="AY471" s="86"/>
      <c r="BE471" s="84"/>
      <c r="BJ471" s="84"/>
      <c r="BO471" s="84"/>
      <c r="BT471" s="84"/>
      <c r="BY471" s="84"/>
      <c r="CC471" s="84"/>
      <c r="CG471" s="84"/>
      <c r="CK471" s="85"/>
      <c r="CL471" s="85"/>
      <c r="CM471" s="84"/>
      <c r="CO471" s="84"/>
      <c r="CT471" s="84"/>
      <c r="CY471" s="84"/>
      <c r="DC471" s="84"/>
      <c r="DG471" s="84"/>
      <c r="DK471" s="84"/>
      <c r="DO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5"/>
      <c r="AM472" s="84"/>
      <c r="AN472" s="84"/>
      <c r="AP472" s="84"/>
      <c r="AU472" s="84"/>
      <c r="AY472" s="86"/>
      <c r="BE472" s="84"/>
      <c r="BJ472" s="84"/>
      <c r="BO472" s="84"/>
      <c r="BT472" s="84"/>
      <c r="BY472" s="84"/>
      <c r="CC472" s="84"/>
      <c r="CG472" s="84"/>
      <c r="CK472" s="85"/>
      <c r="CL472" s="85"/>
      <c r="CM472" s="84"/>
      <c r="CO472" s="84"/>
      <c r="CT472" s="84"/>
      <c r="CY472" s="84"/>
      <c r="DC472" s="84"/>
      <c r="DG472" s="84"/>
      <c r="DK472" s="84"/>
      <c r="DO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5"/>
      <c r="AM473" s="84"/>
      <c r="AN473" s="84"/>
      <c r="AP473" s="84"/>
      <c r="AU473" s="84"/>
      <c r="AY473" s="86"/>
      <c r="BE473" s="84"/>
      <c r="BJ473" s="84"/>
      <c r="BO473" s="84"/>
      <c r="BT473" s="84"/>
      <c r="BY473" s="84"/>
      <c r="CC473" s="84"/>
      <c r="CG473" s="84"/>
      <c r="CK473" s="85"/>
      <c r="CL473" s="85"/>
      <c r="CM473" s="84"/>
      <c r="CO473" s="84"/>
      <c r="CT473" s="84"/>
      <c r="CY473" s="84"/>
      <c r="DC473" s="84"/>
      <c r="DG473" s="84"/>
      <c r="DK473" s="84"/>
      <c r="DO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5"/>
      <c r="AM474" s="84"/>
      <c r="AN474" s="84"/>
      <c r="AP474" s="84"/>
      <c r="AU474" s="84"/>
      <c r="AY474" s="86"/>
      <c r="BE474" s="84"/>
      <c r="BJ474" s="84"/>
      <c r="BO474" s="84"/>
      <c r="BT474" s="84"/>
      <c r="BY474" s="84"/>
      <c r="CC474" s="84"/>
      <c r="CG474" s="84"/>
      <c r="CK474" s="85"/>
      <c r="CL474" s="85"/>
      <c r="CM474" s="84"/>
      <c r="CO474" s="84"/>
      <c r="CT474" s="84"/>
      <c r="CY474" s="84"/>
      <c r="DC474" s="84"/>
      <c r="DG474" s="84"/>
      <c r="DK474" s="84"/>
      <c r="DO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5"/>
      <c r="AM475" s="84"/>
      <c r="AN475" s="84"/>
      <c r="AP475" s="84"/>
      <c r="AU475" s="84"/>
      <c r="AY475" s="86"/>
      <c r="BE475" s="84"/>
      <c r="BJ475" s="84"/>
      <c r="BO475" s="84"/>
      <c r="BT475" s="84"/>
      <c r="BY475" s="84"/>
      <c r="CC475" s="84"/>
      <c r="CG475" s="84"/>
      <c r="CK475" s="85"/>
      <c r="CL475" s="85"/>
      <c r="CM475" s="84"/>
      <c r="CO475" s="84"/>
      <c r="CT475" s="84"/>
      <c r="CY475" s="84"/>
      <c r="DC475" s="84"/>
      <c r="DG475" s="84"/>
      <c r="DK475" s="84"/>
      <c r="DO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5"/>
      <c r="AM476" s="84"/>
      <c r="AN476" s="84"/>
      <c r="AP476" s="84"/>
      <c r="AU476" s="84"/>
      <c r="AY476" s="86"/>
      <c r="BE476" s="84"/>
      <c r="BJ476" s="84"/>
      <c r="BO476" s="84"/>
      <c r="BT476" s="84"/>
      <c r="BY476" s="84"/>
      <c r="CC476" s="84"/>
      <c r="CG476" s="84"/>
      <c r="CK476" s="85"/>
      <c r="CL476" s="85"/>
      <c r="CM476" s="84"/>
      <c r="CO476" s="84"/>
      <c r="CT476" s="84"/>
      <c r="CY476" s="84"/>
      <c r="DC476" s="84"/>
      <c r="DG476" s="84"/>
      <c r="DK476" s="84"/>
      <c r="DO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5"/>
      <c r="AM477" s="84"/>
      <c r="AN477" s="84"/>
      <c r="AP477" s="84"/>
      <c r="AU477" s="84"/>
      <c r="AY477" s="86"/>
      <c r="BE477" s="84"/>
      <c r="BJ477" s="84"/>
      <c r="BO477" s="84"/>
      <c r="BT477" s="84"/>
      <c r="BY477" s="84"/>
      <c r="CC477" s="84"/>
      <c r="CG477" s="84"/>
      <c r="CK477" s="85"/>
      <c r="CL477" s="85"/>
      <c r="CM477" s="84"/>
      <c r="CO477" s="84"/>
      <c r="CT477" s="84"/>
      <c r="CY477" s="84"/>
      <c r="DC477" s="84"/>
      <c r="DG477" s="84"/>
      <c r="DK477" s="84"/>
      <c r="DO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5"/>
      <c r="AM478" s="84"/>
      <c r="AN478" s="84"/>
      <c r="AP478" s="84"/>
      <c r="AU478" s="84"/>
      <c r="AY478" s="86"/>
      <c r="BE478" s="84"/>
      <c r="BJ478" s="84"/>
      <c r="BO478" s="84"/>
      <c r="BT478" s="84"/>
      <c r="BY478" s="84"/>
      <c r="CC478" s="84"/>
      <c r="CG478" s="84"/>
      <c r="CK478" s="85"/>
      <c r="CL478" s="85"/>
      <c r="CM478" s="84"/>
      <c r="CO478" s="84"/>
      <c r="CT478" s="84"/>
      <c r="CY478" s="84"/>
      <c r="DC478" s="84"/>
      <c r="DG478" s="84"/>
      <c r="DK478" s="84"/>
      <c r="DO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5"/>
      <c r="AM479" s="84"/>
      <c r="AN479" s="84"/>
      <c r="AP479" s="84"/>
      <c r="AU479" s="84"/>
      <c r="AY479" s="86"/>
      <c r="BE479" s="84"/>
      <c r="BJ479" s="84"/>
      <c r="BO479" s="84"/>
      <c r="BT479" s="84"/>
      <c r="BY479" s="84"/>
      <c r="CC479" s="84"/>
      <c r="CG479" s="84"/>
      <c r="CK479" s="85"/>
      <c r="CL479" s="85"/>
      <c r="CM479" s="84"/>
      <c r="CO479" s="84"/>
      <c r="CT479" s="84"/>
      <c r="CY479" s="84"/>
      <c r="DC479" s="84"/>
      <c r="DG479" s="84"/>
      <c r="DK479" s="84"/>
      <c r="DO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5"/>
      <c r="AM480" s="84"/>
      <c r="AN480" s="84"/>
      <c r="AP480" s="84"/>
      <c r="AU480" s="84"/>
      <c r="AY480" s="86"/>
      <c r="BE480" s="84"/>
      <c r="BJ480" s="84"/>
      <c r="BO480" s="84"/>
      <c r="BT480" s="84"/>
      <c r="BY480" s="84"/>
      <c r="CC480" s="84"/>
      <c r="CG480" s="84"/>
      <c r="CK480" s="85"/>
      <c r="CL480" s="85"/>
      <c r="CM480" s="84"/>
      <c r="CO480" s="84"/>
      <c r="CT480" s="84"/>
      <c r="CY480" s="84"/>
      <c r="DC480" s="84"/>
      <c r="DG480" s="84"/>
      <c r="DK480" s="84"/>
      <c r="DO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5"/>
      <c r="AM481" s="84"/>
      <c r="AN481" s="84"/>
      <c r="AP481" s="84"/>
      <c r="AU481" s="84"/>
      <c r="AY481" s="86"/>
      <c r="BE481" s="84"/>
      <c r="BJ481" s="84"/>
      <c r="BO481" s="84"/>
      <c r="BT481" s="84"/>
      <c r="BY481" s="84"/>
      <c r="CC481" s="84"/>
      <c r="CG481" s="84"/>
      <c r="CK481" s="85"/>
      <c r="CL481" s="85"/>
      <c r="CM481" s="84"/>
      <c r="CO481" s="84"/>
      <c r="CT481" s="84"/>
      <c r="CY481" s="84"/>
      <c r="DC481" s="84"/>
      <c r="DG481" s="84"/>
      <c r="DK481" s="84"/>
      <c r="DO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5"/>
      <c r="AM482" s="84"/>
      <c r="AN482" s="84"/>
      <c r="AP482" s="84"/>
      <c r="AU482" s="84"/>
      <c r="AY482" s="86"/>
      <c r="BE482" s="84"/>
      <c r="BJ482" s="84"/>
      <c r="BO482" s="84"/>
      <c r="BT482" s="84"/>
      <c r="BY482" s="84"/>
      <c r="CC482" s="84"/>
      <c r="CG482" s="84"/>
      <c r="CK482" s="85"/>
      <c r="CL482" s="85"/>
      <c r="CM482" s="84"/>
      <c r="CO482" s="84"/>
      <c r="CT482" s="84"/>
      <c r="CY482" s="84"/>
      <c r="DC482" s="84"/>
      <c r="DG482" s="84"/>
      <c r="DK482" s="84"/>
      <c r="DO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5"/>
      <c r="AM483" s="84"/>
      <c r="AN483" s="84"/>
      <c r="AP483" s="84"/>
      <c r="AU483" s="84"/>
      <c r="AY483" s="86"/>
      <c r="BE483" s="84"/>
      <c r="BJ483" s="84"/>
      <c r="BO483" s="84"/>
      <c r="BT483" s="84"/>
      <c r="BY483" s="84"/>
      <c r="CC483" s="84"/>
      <c r="CG483" s="84"/>
      <c r="CK483" s="85"/>
      <c r="CL483" s="85"/>
      <c r="CM483" s="84"/>
      <c r="CO483" s="84"/>
      <c r="CT483" s="84"/>
      <c r="CY483" s="84"/>
      <c r="DC483" s="84"/>
      <c r="DG483" s="84"/>
      <c r="DK483" s="84"/>
      <c r="DO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5"/>
      <c r="AM484" s="84"/>
      <c r="AN484" s="84"/>
      <c r="AP484" s="84"/>
      <c r="AU484" s="84"/>
      <c r="AY484" s="86"/>
      <c r="BE484" s="84"/>
      <c r="BJ484" s="84"/>
      <c r="BO484" s="84"/>
      <c r="BT484" s="84"/>
      <c r="BY484" s="84"/>
      <c r="CC484" s="84"/>
      <c r="CG484" s="84"/>
      <c r="CK484" s="85"/>
      <c r="CL484" s="85"/>
      <c r="CM484" s="84"/>
      <c r="CO484" s="84"/>
      <c r="CT484" s="84"/>
      <c r="CY484" s="84"/>
      <c r="DC484" s="84"/>
      <c r="DG484" s="84"/>
      <c r="DK484" s="84"/>
      <c r="DO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5"/>
      <c r="AM485" s="84"/>
      <c r="AN485" s="84"/>
      <c r="AP485" s="84"/>
      <c r="AU485" s="84"/>
      <c r="AY485" s="86"/>
      <c r="BE485" s="84"/>
      <c r="BJ485" s="84"/>
      <c r="BO485" s="84"/>
      <c r="BT485" s="84"/>
      <c r="BY485" s="84"/>
      <c r="CC485" s="84"/>
      <c r="CG485" s="84"/>
      <c r="CK485" s="85"/>
      <c r="CL485" s="85"/>
      <c r="CM485" s="84"/>
      <c r="CO485" s="84"/>
      <c r="CT485" s="84"/>
      <c r="CY485" s="84"/>
      <c r="DC485" s="84"/>
      <c r="DG485" s="84"/>
      <c r="DK485" s="84"/>
      <c r="DO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5"/>
      <c r="AM486" s="84"/>
      <c r="AN486" s="84"/>
      <c r="AP486" s="84"/>
      <c r="AU486" s="84"/>
      <c r="AY486" s="86"/>
      <c r="BE486" s="84"/>
      <c r="BJ486" s="84"/>
      <c r="BO486" s="84"/>
      <c r="BT486" s="84"/>
      <c r="BY486" s="84"/>
      <c r="CC486" s="84"/>
      <c r="CG486" s="84"/>
      <c r="CK486" s="85"/>
      <c r="CL486" s="85"/>
      <c r="CM486" s="84"/>
      <c r="CO486" s="84"/>
      <c r="CT486" s="84"/>
      <c r="CY486" s="84"/>
      <c r="DC486" s="84"/>
      <c r="DG486" s="84"/>
      <c r="DK486" s="84"/>
      <c r="DO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5"/>
      <c r="AM487" s="84"/>
      <c r="AN487" s="84"/>
      <c r="AP487" s="84"/>
      <c r="AU487" s="84"/>
      <c r="AY487" s="86"/>
      <c r="BE487" s="84"/>
      <c r="BJ487" s="84"/>
      <c r="BO487" s="84"/>
      <c r="BT487" s="84"/>
      <c r="BY487" s="84"/>
      <c r="CC487" s="84"/>
      <c r="CG487" s="84"/>
      <c r="CK487" s="85"/>
      <c r="CL487" s="85"/>
      <c r="CM487" s="84"/>
      <c r="CO487" s="84"/>
      <c r="CT487" s="84"/>
      <c r="CY487" s="84"/>
      <c r="DC487" s="84"/>
      <c r="DG487" s="84"/>
      <c r="DK487" s="84"/>
      <c r="DO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5"/>
      <c r="AM488" s="84"/>
      <c r="AN488" s="84"/>
      <c r="AP488" s="84"/>
      <c r="AU488" s="84"/>
      <c r="AY488" s="86"/>
      <c r="BE488" s="84"/>
      <c r="BJ488" s="84"/>
      <c r="BO488" s="84"/>
      <c r="BT488" s="84"/>
      <c r="BY488" s="84"/>
      <c r="CC488" s="84"/>
      <c r="CG488" s="84"/>
      <c r="CK488" s="85"/>
      <c r="CL488" s="85"/>
      <c r="CM488" s="84"/>
      <c r="CO488" s="84"/>
      <c r="CT488" s="84"/>
      <c r="CY488" s="84"/>
      <c r="DC488" s="84"/>
      <c r="DG488" s="84"/>
      <c r="DK488" s="84"/>
      <c r="DO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5"/>
      <c r="AM489" s="84"/>
      <c r="AN489" s="84"/>
      <c r="AP489" s="84"/>
      <c r="AU489" s="84"/>
      <c r="AY489" s="86"/>
      <c r="BE489" s="84"/>
      <c r="BJ489" s="84"/>
      <c r="BO489" s="84"/>
      <c r="BT489" s="84"/>
      <c r="BY489" s="84"/>
      <c r="CC489" s="84"/>
      <c r="CG489" s="84"/>
      <c r="CK489" s="85"/>
      <c r="CL489" s="85"/>
      <c r="CM489" s="84"/>
      <c r="CO489" s="84"/>
      <c r="CT489" s="84"/>
      <c r="CY489" s="84"/>
      <c r="DC489" s="84"/>
      <c r="DG489" s="84"/>
      <c r="DK489" s="84"/>
      <c r="DO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5"/>
      <c r="AM490" s="84"/>
      <c r="AN490" s="84"/>
      <c r="AP490" s="84"/>
      <c r="AU490" s="84"/>
      <c r="AY490" s="86"/>
      <c r="BE490" s="84"/>
      <c r="BJ490" s="84"/>
      <c r="BO490" s="84"/>
      <c r="BT490" s="84"/>
      <c r="BY490" s="84"/>
      <c r="CC490" s="84"/>
      <c r="CG490" s="84"/>
      <c r="CK490" s="85"/>
      <c r="CL490" s="85"/>
      <c r="CM490" s="84"/>
      <c r="CO490" s="84"/>
      <c r="CT490" s="84"/>
      <c r="CY490" s="84"/>
      <c r="DC490" s="84"/>
      <c r="DG490" s="84"/>
      <c r="DK490" s="84"/>
      <c r="DO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5"/>
      <c r="AM491" s="84"/>
      <c r="AN491" s="84"/>
      <c r="AP491" s="84"/>
      <c r="AU491" s="84"/>
      <c r="AY491" s="86"/>
      <c r="BE491" s="84"/>
      <c r="BJ491" s="84"/>
      <c r="BO491" s="84"/>
      <c r="BT491" s="84"/>
      <c r="BY491" s="84"/>
      <c r="CC491" s="84"/>
      <c r="CG491" s="84"/>
      <c r="CK491" s="85"/>
      <c r="CL491" s="85"/>
      <c r="CM491" s="84"/>
      <c r="CO491" s="84"/>
      <c r="CT491" s="84"/>
      <c r="CY491" s="84"/>
      <c r="DC491" s="84"/>
      <c r="DG491" s="84"/>
      <c r="DK491" s="84"/>
      <c r="DO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5"/>
      <c r="AM492" s="84"/>
      <c r="AN492" s="84"/>
      <c r="AP492" s="84"/>
      <c r="AU492" s="84"/>
      <c r="AY492" s="86"/>
      <c r="BE492" s="84"/>
      <c r="BJ492" s="84"/>
      <c r="BO492" s="84"/>
      <c r="BT492" s="84"/>
      <c r="BY492" s="84"/>
      <c r="CC492" s="84"/>
      <c r="CG492" s="84"/>
      <c r="CK492" s="85"/>
      <c r="CL492" s="85"/>
      <c r="CM492" s="84"/>
      <c r="CO492" s="84"/>
      <c r="CT492" s="84"/>
      <c r="CY492" s="84"/>
      <c r="DC492" s="84"/>
      <c r="DG492" s="84"/>
      <c r="DK492" s="84"/>
      <c r="DO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5"/>
      <c r="AM493" s="84"/>
      <c r="AN493" s="84"/>
      <c r="AP493" s="84"/>
      <c r="AU493" s="84"/>
      <c r="AY493" s="86"/>
      <c r="BE493" s="84"/>
      <c r="BJ493" s="84"/>
      <c r="BO493" s="84"/>
      <c r="BT493" s="84"/>
      <c r="BY493" s="84"/>
      <c r="CC493" s="84"/>
      <c r="CG493" s="84"/>
      <c r="CK493" s="85"/>
      <c r="CL493" s="85"/>
      <c r="CM493" s="84"/>
      <c r="CO493" s="84"/>
      <c r="CT493" s="84"/>
      <c r="CY493" s="84"/>
      <c r="DC493" s="84"/>
      <c r="DG493" s="84"/>
      <c r="DK493" s="84"/>
      <c r="DO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5"/>
      <c r="AM494" s="84"/>
      <c r="AN494" s="84"/>
      <c r="AP494" s="84"/>
      <c r="AU494" s="84"/>
      <c r="AY494" s="86"/>
      <c r="BE494" s="84"/>
      <c r="BJ494" s="84"/>
      <c r="BO494" s="84"/>
      <c r="BT494" s="84"/>
      <c r="BY494" s="84"/>
      <c r="CC494" s="84"/>
      <c r="CG494" s="84"/>
      <c r="CK494" s="85"/>
      <c r="CL494" s="85"/>
      <c r="CM494" s="84"/>
      <c r="CO494" s="84"/>
      <c r="CT494" s="84"/>
      <c r="CY494" s="84"/>
      <c r="DC494" s="84"/>
      <c r="DG494" s="84"/>
      <c r="DK494" s="84"/>
      <c r="DO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5"/>
      <c r="AM495" s="84"/>
      <c r="AN495" s="84"/>
      <c r="AP495" s="84"/>
      <c r="AU495" s="84"/>
      <c r="AY495" s="86"/>
      <c r="BE495" s="84"/>
      <c r="BJ495" s="84"/>
      <c r="BO495" s="84"/>
      <c r="BT495" s="84"/>
      <c r="BY495" s="84"/>
      <c r="CC495" s="84"/>
      <c r="CG495" s="84"/>
      <c r="CK495" s="85"/>
      <c r="CL495" s="85"/>
      <c r="CM495" s="84"/>
      <c r="CO495" s="84"/>
      <c r="CT495" s="84"/>
      <c r="CY495" s="84"/>
      <c r="DC495" s="84"/>
      <c r="DG495" s="84"/>
      <c r="DK495" s="84"/>
      <c r="DO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5"/>
      <c r="AM496" s="84"/>
      <c r="AN496" s="84"/>
      <c r="AP496" s="84"/>
      <c r="AU496" s="84"/>
      <c r="AY496" s="86"/>
      <c r="BE496" s="84"/>
      <c r="BJ496" s="84"/>
      <c r="BO496" s="84"/>
      <c r="BT496" s="84"/>
      <c r="BY496" s="84"/>
      <c r="CC496" s="84"/>
      <c r="CG496" s="84"/>
      <c r="CK496" s="85"/>
      <c r="CL496" s="85"/>
      <c r="CM496" s="84"/>
      <c r="CO496" s="84"/>
      <c r="CT496" s="84"/>
      <c r="CY496" s="84"/>
      <c r="DC496" s="84"/>
      <c r="DG496" s="84"/>
      <c r="DK496" s="84"/>
      <c r="DO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5"/>
      <c r="AM497" s="84"/>
      <c r="AN497" s="84"/>
      <c r="AP497" s="84"/>
      <c r="AU497" s="84"/>
      <c r="AY497" s="86"/>
      <c r="BE497" s="84"/>
      <c r="BJ497" s="84"/>
      <c r="BO497" s="84"/>
      <c r="BT497" s="84"/>
      <c r="BY497" s="84"/>
      <c r="CC497" s="84"/>
      <c r="CG497" s="84"/>
      <c r="CK497" s="85"/>
      <c r="CL497" s="85"/>
      <c r="CM497" s="84"/>
      <c r="CO497" s="84"/>
      <c r="CT497" s="84"/>
      <c r="CY497" s="84"/>
      <c r="DC497" s="84"/>
      <c r="DG497" s="84"/>
      <c r="DK497" s="84"/>
      <c r="DO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5"/>
      <c r="AM498" s="84"/>
      <c r="AN498" s="84"/>
      <c r="AP498" s="84"/>
      <c r="AU498" s="84"/>
      <c r="AY498" s="86"/>
      <c r="BE498" s="84"/>
      <c r="BJ498" s="84"/>
      <c r="BO498" s="84"/>
      <c r="BT498" s="84"/>
      <c r="BY498" s="84"/>
      <c r="CC498" s="84"/>
      <c r="CG498" s="84"/>
      <c r="CK498" s="85"/>
      <c r="CL498" s="85"/>
      <c r="CM498" s="84"/>
      <c r="CO498" s="84"/>
      <c r="CT498" s="84"/>
      <c r="CY498" s="84"/>
      <c r="DC498" s="84"/>
      <c r="DG498" s="84"/>
      <c r="DK498" s="84"/>
      <c r="DO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5"/>
      <c r="AM499" s="84"/>
      <c r="AN499" s="84"/>
      <c r="AP499" s="84"/>
      <c r="AU499" s="84"/>
      <c r="AY499" s="86"/>
      <c r="BE499" s="84"/>
      <c r="BJ499" s="84"/>
      <c r="BO499" s="84"/>
      <c r="BT499" s="84"/>
      <c r="BY499" s="84"/>
      <c r="CC499" s="84"/>
      <c r="CG499" s="84"/>
      <c r="CK499" s="85"/>
      <c r="CL499" s="85"/>
      <c r="CM499" s="84"/>
      <c r="CO499" s="84"/>
      <c r="CT499" s="84"/>
      <c r="CY499" s="84"/>
      <c r="DC499" s="84"/>
      <c r="DG499" s="84"/>
      <c r="DK499" s="84"/>
      <c r="DO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5"/>
      <c r="AM500" s="84"/>
      <c r="AN500" s="84"/>
      <c r="AP500" s="84"/>
      <c r="AU500" s="84"/>
      <c r="AY500" s="86"/>
      <c r="BE500" s="84"/>
      <c r="BJ500" s="84"/>
      <c r="BO500" s="84"/>
      <c r="BT500" s="84"/>
      <c r="BY500" s="84"/>
      <c r="CC500" s="84"/>
      <c r="CG500" s="84"/>
      <c r="CK500" s="85"/>
      <c r="CL500" s="85"/>
      <c r="CM500" s="84"/>
      <c r="CO500" s="84"/>
      <c r="CT500" s="84"/>
      <c r="CY500" s="84"/>
      <c r="DC500" s="84"/>
      <c r="DG500" s="84"/>
      <c r="DK500" s="84"/>
      <c r="DO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5"/>
      <c r="AM501" s="84"/>
      <c r="AN501" s="84"/>
      <c r="AP501" s="84"/>
      <c r="AU501" s="84"/>
      <c r="AY501" s="86"/>
      <c r="BE501" s="84"/>
      <c r="BJ501" s="84"/>
      <c r="BO501" s="84"/>
      <c r="BT501" s="84"/>
      <c r="BY501" s="84"/>
      <c r="CC501" s="84"/>
      <c r="CG501" s="84"/>
      <c r="CK501" s="85"/>
      <c r="CL501" s="85"/>
      <c r="CM501" s="84"/>
      <c r="CO501" s="84"/>
      <c r="CT501" s="84"/>
      <c r="CY501" s="84"/>
      <c r="DC501" s="84"/>
      <c r="DG501" s="84"/>
      <c r="DK501" s="84"/>
      <c r="DO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5"/>
      <c r="AM502" s="84"/>
      <c r="AN502" s="84"/>
      <c r="AP502" s="84"/>
      <c r="AU502" s="84"/>
      <c r="AY502" s="86"/>
      <c r="BE502" s="84"/>
      <c r="BJ502" s="84"/>
      <c r="BO502" s="84"/>
      <c r="BT502" s="84"/>
      <c r="BY502" s="84"/>
      <c r="CC502" s="84"/>
      <c r="CG502" s="84"/>
      <c r="CK502" s="85"/>
      <c r="CL502" s="85"/>
      <c r="CM502" s="84"/>
      <c r="CO502" s="84"/>
      <c r="CT502" s="84"/>
      <c r="CY502" s="84"/>
      <c r="DC502" s="84"/>
      <c r="DG502" s="84"/>
      <c r="DK502" s="84"/>
      <c r="DO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5"/>
      <c r="AM503" s="84"/>
      <c r="AN503" s="84"/>
      <c r="AP503" s="84"/>
      <c r="AU503" s="84"/>
      <c r="AY503" s="86"/>
      <c r="BE503" s="84"/>
      <c r="BJ503" s="84"/>
      <c r="BO503" s="84"/>
      <c r="BT503" s="84"/>
      <c r="BY503" s="84"/>
      <c r="CC503" s="84"/>
      <c r="CG503" s="84"/>
      <c r="CK503" s="85"/>
      <c r="CL503" s="85"/>
      <c r="CM503" s="84"/>
      <c r="CO503" s="84"/>
      <c r="CT503" s="84"/>
      <c r="CY503" s="84"/>
      <c r="DC503" s="84"/>
      <c r="DG503" s="84"/>
      <c r="DK503" s="84"/>
      <c r="DO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5"/>
      <c r="AM504" s="84"/>
      <c r="AN504" s="84"/>
      <c r="AP504" s="84"/>
      <c r="AU504" s="84"/>
      <c r="AY504" s="86"/>
      <c r="BE504" s="84"/>
      <c r="BJ504" s="84"/>
      <c r="BO504" s="84"/>
      <c r="BT504" s="84"/>
      <c r="BY504" s="84"/>
      <c r="CC504" s="84"/>
      <c r="CG504" s="84"/>
      <c r="CK504" s="85"/>
      <c r="CL504" s="85"/>
      <c r="CM504" s="84"/>
      <c r="CO504" s="84"/>
      <c r="CT504" s="84"/>
      <c r="CY504" s="84"/>
      <c r="DC504" s="84"/>
      <c r="DG504" s="84"/>
      <c r="DK504" s="84"/>
      <c r="DO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5"/>
      <c r="AM505" s="84"/>
      <c r="AN505" s="84"/>
      <c r="AP505" s="84"/>
      <c r="AU505" s="84"/>
      <c r="AY505" s="86"/>
      <c r="BE505" s="84"/>
      <c r="BJ505" s="84"/>
      <c r="BO505" s="84"/>
      <c r="BT505" s="84"/>
      <c r="BY505" s="84"/>
      <c r="CC505" s="84"/>
      <c r="CG505" s="84"/>
      <c r="CK505" s="85"/>
      <c r="CL505" s="85"/>
      <c r="CM505" s="84"/>
      <c r="CO505" s="84"/>
      <c r="CT505" s="84"/>
      <c r="CY505" s="84"/>
      <c r="DC505" s="84"/>
      <c r="DG505" s="84"/>
      <c r="DK505" s="84"/>
      <c r="DO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5"/>
      <c r="AM506" s="84"/>
      <c r="AN506" s="84"/>
      <c r="AP506" s="84"/>
      <c r="AU506" s="84"/>
      <c r="AY506" s="86"/>
      <c r="BE506" s="84"/>
      <c r="BJ506" s="84"/>
      <c r="BO506" s="84"/>
      <c r="BT506" s="84"/>
      <c r="BY506" s="84"/>
      <c r="CC506" s="84"/>
      <c r="CG506" s="84"/>
      <c r="CK506" s="85"/>
      <c r="CL506" s="85"/>
      <c r="CM506" s="84"/>
      <c r="CO506" s="84"/>
      <c r="CT506" s="84"/>
      <c r="CY506" s="84"/>
      <c r="DC506" s="84"/>
      <c r="DG506" s="84"/>
      <c r="DK506" s="84"/>
      <c r="DO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5"/>
      <c r="AM507" s="84"/>
      <c r="AN507" s="84"/>
      <c r="AP507" s="84"/>
      <c r="AU507" s="84"/>
      <c r="AY507" s="86"/>
      <c r="BE507" s="84"/>
      <c r="BJ507" s="84"/>
      <c r="BO507" s="84"/>
      <c r="BT507" s="84"/>
      <c r="BY507" s="84"/>
      <c r="CC507" s="84"/>
      <c r="CG507" s="84"/>
      <c r="CK507" s="85"/>
      <c r="CL507" s="85"/>
      <c r="CM507" s="84"/>
      <c r="CO507" s="84"/>
      <c r="CT507" s="84"/>
      <c r="CY507" s="84"/>
      <c r="DC507" s="84"/>
      <c r="DG507" s="84"/>
      <c r="DK507" s="84"/>
      <c r="DO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5"/>
      <c r="AM508" s="84"/>
      <c r="AN508" s="84"/>
      <c r="AP508" s="84"/>
      <c r="AU508" s="84"/>
      <c r="AY508" s="86"/>
      <c r="BE508" s="84"/>
      <c r="BJ508" s="84"/>
      <c r="BO508" s="84"/>
      <c r="BT508" s="84"/>
      <c r="BY508" s="84"/>
      <c r="CC508" s="84"/>
      <c r="CG508" s="84"/>
      <c r="CK508" s="85"/>
      <c r="CL508" s="85"/>
      <c r="CM508" s="84"/>
      <c r="CO508" s="84"/>
      <c r="CT508" s="84"/>
      <c r="CY508" s="84"/>
      <c r="DC508" s="84"/>
      <c r="DG508" s="84"/>
      <c r="DK508" s="84"/>
      <c r="DO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5"/>
      <c r="AM509" s="84"/>
      <c r="AN509" s="84"/>
      <c r="AP509" s="84"/>
      <c r="AU509" s="84"/>
      <c r="AY509" s="86"/>
      <c r="BE509" s="84"/>
      <c r="BJ509" s="84"/>
      <c r="BO509" s="84"/>
      <c r="BT509" s="84"/>
      <c r="BY509" s="84"/>
      <c r="CC509" s="84"/>
      <c r="CG509" s="84"/>
      <c r="CK509" s="85"/>
      <c r="CL509" s="85"/>
      <c r="CM509" s="84"/>
      <c r="CO509" s="84"/>
      <c r="CT509" s="84"/>
      <c r="CY509" s="84"/>
      <c r="DC509" s="84"/>
      <c r="DG509" s="84"/>
      <c r="DK509" s="84"/>
      <c r="DO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5"/>
      <c r="AM510" s="84"/>
      <c r="AN510" s="84"/>
      <c r="AP510" s="84"/>
      <c r="AU510" s="84"/>
      <c r="AY510" s="86"/>
      <c r="BE510" s="84"/>
      <c r="BJ510" s="84"/>
      <c r="BO510" s="84"/>
      <c r="BT510" s="84"/>
      <c r="BY510" s="84"/>
      <c r="CC510" s="84"/>
      <c r="CG510" s="84"/>
      <c r="CK510" s="85"/>
      <c r="CL510" s="85"/>
      <c r="CM510" s="84"/>
      <c r="CO510" s="84"/>
      <c r="CT510" s="84"/>
      <c r="CY510" s="84"/>
      <c r="DC510" s="84"/>
      <c r="DG510" s="84"/>
      <c r="DK510" s="84"/>
      <c r="DO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5"/>
      <c r="AM511" s="84"/>
      <c r="AN511" s="84"/>
      <c r="AP511" s="84"/>
      <c r="AU511" s="84"/>
      <c r="AY511" s="86"/>
      <c r="BE511" s="84"/>
      <c r="BJ511" s="84"/>
      <c r="BO511" s="84"/>
      <c r="BT511" s="84"/>
      <c r="BY511" s="84"/>
      <c r="CC511" s="84"/>
      <c r="CG511" s="84"/>
      <c r="CK511" s="85"/>
      <c r="CL511" s="85"/>
      <c r="CM511" s="84"/>
      <c r="CO511" s="84"/>
      <c r="CT511" s="84"/>
      <c r="CY511" s="84"/>
      <c r="DC511" s="84"/>
      <c r="DG511" s="84"/>
      <c r="DK511" s="84"/>
      <c r="DO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5"/>
      <c r="AM512" s="84"/>
      <c r="AN512" s="84"/>
      <c r="AP512" s="84"/>
      <c r="AU512" s="84"/>
      <c r="AY512" s="86"/>
      <c r="BE512" s="84"/>
      <c r="BJ512" s="84"/>
      <c r="BO512" s="84"/>
      <c r="BT512" s="84"/>
      <c r="BY512" s="84"/>
      <c r="CC512" s="84"/>
      <c r="CG512" s="84"/>
      <c r="CK512" s="85"/>
      <c r="CL512" s="85"/>
      <c r="CM512" s="84"/>
      <c r="CO512" s="84"/>
      <c r="CT512" s="84"/>
      <c r="CY512" s="84"/>
      <c r="DC512" s="84"/>
      <c r="DG512" s="84"/>
      <c r="DK512" s="84"/>
      <c r="DO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5"/>
      <c r="AM513" s="84"/>
      <c r="AN513" s="84"/>
      <c r="AP513" s="84"/>
      <c r="AU513" s="84"/>
      <c r="AY513" s="86"/>
      <c r="BE513" s="84"/>
      <c r="BJ513" s="84"/>
      <c r="BO513" s="84"/>
      <c r="BT513" s="84"/>
      <c r="BY513" s="84"/>
      <c r="CC513" s="84"/>
      <c r="CG513" s="84"/>
      <c r="CK513" s="85"/>
      <c r="CL513" s="85"/>
      <c r="CM513" s="84"/>
      <c r="CO513" s="84"/>
      <c r="CT513" s="84"/>
      <c r="CY513" s="84"/>
      <c r="DC513" s="84"/>
      <c r="DG513" s="84"/>
      <c r="DK513" s="84"/>
      <c r="DO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5"/>
      <c r="AM514" s="84"/>
      <c r="AN514" s="84"/>
      <c r="AP514" s="84"/>
      <c r="AU514" s="84"/>
      <c r="AY514" s="86"/>
      <c r="BE514" s="84"/>
      <c r="BJ514" s="84"/>
      <c r="BO514" s="84"/>
      <c r="BT514" s="84"/>
      <c r="BY514" s="84"/>
      <c r="CC514" s="84"/>
      <c r="CG514" s="84"/>
      <c r="CK514" s="85"/>
      <c r="CL514" s="85"/>
      <c r="CM514" s="84"/>
      <c r="CO514" s="84"/>
      <c r="CT514" s="84"/>
      <c r="CY514" s="84"/>
      <c r="DC514" s="84"/>
      <c r="DG514" s="84"/>
      <c r="DK514" s="84"/>
      <c r="DO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5"/>
      <c r="AM515" s="84"/>
      <c r="AN515" s="84"/>
      <c r="AP515" s="84"/>
      <c r="AU515" s="84"/>
      <c r="AY515" s="86"/>
      <c r="BE515" s="84"/>
      <c r="BJ515" s="84"/>
      <c r="BO515" s="84"/>
      <c r="BT515" s="84"/>
      <c r="BY515" s="84"/>
      <c r="CC515" s="84"/>
      <c r="CG515" s="84"/>
      <c r="CK515" s="85"/>
      <c r="CL515" s="85"/>
      <c r="CM515" s="84"/>
      <c r="CO515" s="84"/>
      <c r="CT515" s="84"/>
      <c r="CY515" s="84"/>
      <c r="DC515" s="84"/>
      <c r="DG515" s="84"/>
      <c r="DK515" s="84"/>
      <c r="DO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5"/>
      <c r="AM516" s="84"/>
      <c r="AN516" s="84"/>
      <c r="AP516" s="84"/>
      <c r="AU516" s="84"/>
      <c r="AY516" s="86"/>
      <c r="BE516" s="84"/>
      <c r="BJ516" s="84"/>
      <c r="BO516" s="84"/>
      <c r="BT516" s="84"/>
      <c r="BY516" s="84"/>
      <c r="CC516" s="84"/>
      <c r="CG516" s="84"/>
      <c r="CK516" s="85"/>
      <c r="CL516" s="85"/>
      <c r="CM516" s="84"/>
      <c r="CO516" s="84"/>
      <c r="CT516" s="84"/>
      <c r="CY516" s="84"/>
      <c r="DC516" s="84"/>
      <c r="DG516" s="84"/>
      <c r="DK516" s="84"/>
      <c r="DO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5"/>
      <c r="AM517" s="84"/>
      <c r="AN517" s="84"/>
      <c r="AP517" s="84"/>
      <c r="AU517" s="84"/>
      <c r="AY517" s="86"/>
      <c r="BE517" s="84"/>
      <c r="BJ517" s="84"/>
      <c r="BO517" s="84"/>
      <c r="BT517" s="84"/>
      <c r="BY517" s="84"/>
      <c r="CC517" s="84"/>
      <c r="CG517" s="84"/>
      <c r="CK517" s="85"/>
      <c r="CL517" s="85"/>
      <c r="CM517" s="84"/>
      <c r="CO517" s="84"/>
      <c r="CT517" s="84"/>
      <c r="CY517" s="84"/>
      <c r="DC517" s="84"/>
      <c r="DG517" s="84"/>
      <c r="DK517" s="84"/>
      <c r="DO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5"/>
      <c r="AM518" s="84"/>
      <c r="AN518" s="84"/>
      <c r="AP518" s="84"/>
      <c r="AU518" s="84"/>
      <c r="AY518" s="86"/>
      <c r="BE518" s="84"/>
      <c r="BJ518" s="84"/>
      <c r="BO518" s="84"/>
      <c r="BT518" s="84"/>
      <c r="BY518" s="84"/>
      <c r="CC518" s="84"/>
      <c r="CG518" s="84"/>
      <c r="CK518" s="85"/>
      <c r="CL518" s="85"/>
      <c r="CM518" s="84"/>
      <c r="CO518" s="84"/>
      <c r="CT518" s="84"/>
      <c r="CY518" s="84"/>
      <c r="DC518" s="84"/>
      <c r="DG518" s="84"/>
      <c r="DK518" s="84"/>
      <c r="DO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5"/>
      <c r="AM519" s="84"/>
      <c r="AN519" s="84"/>
      <c r="AP519" s="84"/>
      <c r="AU519" s="84"/>
      <c r="AY519" s="86"/>
      <c r="BE519" s="84"/>
      <c r="BJ519" s="84"/>
      <c r="BO519" s="84"/>
      <c r="BT519" s="84"/>
      <c r="BY519" s="84"/>
      <c r="CC519" s="84"/>
      <c r="CG519" s="84"/>
      <c r="CK519" s="85"/>
      <c r="CL519" s="85"/>
      <c r="CM519" s="84"/>
      <c r="CO519" s="84"/>
      <c r="CT519" s="84"/>
      <c r="CY519" s="84"/>
      <c r="DC519" s="84"/>
      <c r="DG519" s="84"/>
      <c r="DK519" s="84"/>
      <c r="DO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5"/>
      <c r="AM520" s="84"/>
      <c r="AN520" s="84"/>
      <c r="AP520" s="84"/>
      <c r="AU520" s="84"/>
      <c r="AY520" s="86"/>
      <c r="BE520" s="84"/>
      <c r="BJ520" s="84"/>
      <c r="BO520" s="84"/>
      <c r="BT520" s="84"/>
      <c r="BY520" s="84"/>
      <c r="CC520" s="84"/>
      <c r="CG520" s="84"/>
      <c r="CK520" s="85"/>
      <c r="CL520" s="85"/>
      <c r="CM520" s="84"/>
      <c r="CO520" s="84"/>
      <c r="CT520" s="84"/>
      <c r="CY520" s="84"/>
      <c r="DC520" s="84"/>
      <c r="DG520" s="84"/>
      <c r="DK520" s="84"/>
      <c r="DO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5"/>
      <c r="AM521" s="84"/>
      <c r="AN521" s="84"/>
      <c r="AP521" s="84"/>
      <c r="AU521" s="84"/>
      <c r="AY521" s="86"/>
      <c r="BE521" s="84"/>
      <c r="BJ521" s="84"/>
      <c r="BO521" s="84"/>
      <c r="BT521" s="84"/>
      <c r="BY521" s="84"/>
      <c r="CC521" s="84"/>
      <c r="CG521" s="84"/>
      <c r="CK521" s="85"/>
      <c r="CL521" s="85"/>
      <c r="CM521" s="84"/>
      <c r="CO521" s="84"/>
      <c r="CT521" s="84"/>
      <c r="CY521" s="84"/>
      <c r="DC521" s="84"/>
      <c r="DG521" s="84"/>
      <c r="DK521" s="84"/>
      <c r="DO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5"/>
      <c r="AM522" s="84"/>
      <c r="AN522" s="84"/>
      <c r="AP522" s="84"/>
      <c r="AU522" s="84"/>
      <c r="AY522" s="86"/>
      <c r="BE522" s="84"/>
      <c r="BJ522" s="84"/>
      <c r="BO522" s="84"/>
      <c r="BT522" s="84"/>
      <c r="BY522" s="84"/>
      <c r="CC522" s="84"/>
      <c r="CG522" s="84"/>
      <c r="CK522" s="85"/>
      <c r="CL522" s="85"/>
      <c r="CM522" s="84"/>
      <c r="CO522" s="84"/>
      <c r="CT522" s="84"/>
      <c r="CY522" s="84"/>
      <c r="DC522" s="84"/>
      <c r="DG522" s="84"/>
      <c r="DK522" s="84"/>
      <c r="DO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5"/>
      <c r="AM523" s="84"/>
      <c r="AN523" s="84"/>
      <c r="AP523" s="84"/>
      <c r="AU523" s="84"/>
      <c r="AY523" s="86"/>
      <c r="BE523" s="84"/>
      <c r="BJ523" s="84"/>
      <c r="BO523" s="84"/>
      <c r="BT523" s="84"/>
      <c r="BY523" s="84"/>
      <c r="CC523" s="84"/>
      <c r="CG523" s="84"/>
      <c r="CK523" s="85"/>
      <c r="CL523" s="85"/>
      <c r="CM523" s="84"/>
      <c r="CO523" s="84"/>
      <c r="CT523" s="84"/>
      <c r="CY523" s="84"/>
      <c r="DC523" s="84"/>
      <c r="DG523" s="84"/>
      <c r="DK523" s="84"/>
      <c r="DO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5"/>
      <c r="AM524" s="84"/>
      <c r="AN524" s="84"/>
      <c r="AP524" s="84"/>
      <c r="AU524" s="84"/>
      <c r="AY524" s="86"/>
      <c r="BE524" s="84"/>
      <c r="BJ524" s="84"/>
      <c r="BO524" s="84"/>
      <c r="BT524" s="84"/>
      <c r="BY524" s="84"/>
      <c r="CC524" s="84"/>
      <c r="CG524" s="84"/>
      <c r="CK524" s="85"/>
      <c r="CL524" s="85"/>
      <c r="CM524" s="84"/>
      <c r="CO524" s="84"/>
      <c r="CT524" s="84"/>
      <c r="CY524" s="84"/>
      <c r="DC524" s="84"/>
      <c r="DG524" s="84"/>
      <c r="DK524" s="84"/>
      <c r="DO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5"/>
      <c r="AM525" s="84"/>
      <c r="AN525" s="84"/>
      <c r="AP525" s="84"/>
      <c r="AU525" s="84"/>
      <c r="AY525" s="86"/>
      <c r="BE525" s="84"/>
      <c r="BJ525" s="84"/>
      <c r="BO525" s="84"/>
      <c r="BT525" s="84"/>
      <c r="BY525" s="84"/>
      <c r="CC525" s="84"/>
      <c r="CG525" s="84"/>
      <c r="CK525" s="85"/>
      <c r="CL525" s="85"/>
      <c r="CM525" s="84"/>
      <c r="CO525" s="84"/>
      <c r="CT525" s="84"/>
      <c r="CY525" s="84"/>
      <c r="DC525" s="84"/>
      <c r="DG525" s="84"/>
      <c r="DK525" s="84"/>
      <c r="DO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5"/>
      <c r="AM526" s="84"/>
      <c r="AN526" s="84"/>
      <c r="AP526" s="84"/>
      <c r="AU526" s="84"/>
      <c r="AY526" s="86"/>
      <c r="BE526" s="84"/>
      <c r="BJ526" s="84"/>
      <c r="BO526" s="84"/>
      <c r="BT526" s="84"/>
      <c r="BY526" s="84"/>
      <c r="CC526" s="84"/>
      <c r="CG526" s="84"/>
      <c r="CK526" s="85"/>
      <c r="CL526" s="85"/>
      <c r="CM526" s="84"/>
      <c r="CO526" s="84"/>
      <c r="CT526" s="84"/>
      <c r="CY526" s="84"/>
      <c r="DC526" s="84"/>
      <c r="DG526" s="84"/>
      <c r="DK526" s="84"/>
      <c r="DO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5"/>
      <c r="AM527" s="84"/>
      <c r="AN527" s="84"/>
      <c r="AP527" s="84"/>
      <c r="AU527" s="84"/>
      <c r="AY527" s="86"/>
      <c r="BE527" s="84"/>
      <c r="BJ527" s="84"/>
      <c r="BO527" s="84"/>
      <c r="BT527" s="84"/>
      <c r="BY527" s="84"/>
      <c r="CC527" s="84"/>
      <c r="CG527" s="84"/>
      <c r="CK527" s="85"/>
      <c r="CL527" s="85"/>
      <c r="CM527" s="84"/>
      <c r="CO527" s="84"/>
      <c r="CT527" s="84"/>
      <c r="CY527" s="84"/>
      <c r="DC527" s="84"/>
      <c r="DG527" s="84"/>
      <c r="DK527" s="84"/>
      <c r="DO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5"/>
      <c r="AM528" s="84"/>
      <c r="AN528" s="84"/>
      <c r="AP528" s="84"/>
      <c r="AU528" s="84"/>
      <c r="AY528" s="86"/>
      <c r="BE528" s="84"/>
      <c r="BJ528" s="84"/>
      <c r="BO528" s="84"/>
      <c r="BT528" s="84"/>
      <c r="BY528" s="84"/>
      <c r="CC528" s="84"/>
      <c r="CG528" s="84"/>
      <c r="CK528" s="85"/>
      <c r="CL528" s="85"/>
      <c r="CM528" s="84"/>
      <c r="CO528" s="84"/>
      <c r="CT528" s="84"/>
      <c r="CY528" s="84"/>
      <c r="DC528" s="84"/>
      <c r="DG528" s="84"/>
      <c r="DK528" s="84"/>
      <c r="DO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5"/>
      <c r="AM529" s="84"/>
      <c r="AN529" s="84"/>
      <c r="AP529" s="84"/>
      <c r="AU529" s="84"/>
      <c r="AY529" s="86"/>
      <c r="BE529" s="84"/>
      <c r="BJ529" s="84"/>
      <c r="BO529" s="84"/>
      <c r="BT529" s="84"/>
      <c r="BY529" s="84"/>
      <c r="CC529" s="84"/>
      <c r="CG529" s="84"/>
      <c r="CK529" s="85"/>
      <c r="CL529" s="85"/>
      <c r="CM529" s="84"/>
      <c r="CO529" s="84"/>
      <c r="CT529" s="84"/>
      <c r="CY529" s="84"/>
      <c r="DC529" s="84"/>
      <c r="DG529" s="84"/>
      <c r="DK529" s="84"/>
      <c r="DO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5"/>
      <c r="AM530" s="84"/>
      <c r="AN530" s="84"/>
      <c r="AP530" s="84"/>
      <c r="AU530" s="84"/>
      <c r="AY530" s="86"/>
      <c r="BE530" s="84"/>
      <c r="BJ530" s="84"/>
      <c r="BO530" s="84"/>
      <c r="BT530" s="84"/>
      <c r="BY530" s="84"/>
      <c r="CC530" s="84"/>
      <c r="CG530" s="84"/>
      <c r="CK530" s="85"/>
      <c r="CL530" s="85"/>
      <c r="CM530" s="84"/>
      <c r="CO530" s="84"/>
      <c r="CT530" s="84"/>
      <c r="CY530" s="84"/>
      <c r="DC530" s="84"/>
      <c r="DG530" s="84"/>
      <c r="DK530" s="84"/>
      <c r="DO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5"/>
      <c r="AM531" s="84"/>
      <c r="AN531" s="84"/>
      <c r="AP531" s="84"/>
      <c r="AU531" s="84"/>
      <c r="AY531" s="86"/>
      <c r="BE531" s="84"/>
      <c r="BJ531" s="84"/>
      <c r="BO531" s="84"/>
      <c r="BT531" s="84"/>
      <c r="BY531" s="84"/>
      <c r="CC531" s="84"/>
      <c r="CG531" s="84"/>
      <c r="CK531" s="85"/>
      <c r="CL531" s="85"/>
      <c r="CM531" s="84"/>
      <c r="CO531" s="84"/>
      <c r="CT531" s="84"/>
      <c r="CY531" s="84"/>
      <c r="DC531" s="84"/>
      <c r="DG531" s="84"/>
      <c r="DK531" s="84"/>
      <c r="DO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5"/>
      <c r="AM532" s="84"/>
      <c r="AN532" s="84"/>
      <c r="AP532" s="84"/>
      <c r="AU532" s="84"/>
      <c r="AY532" s="86"/>
      <c r="BE532" s="84"/>
      <c r="BJ532" s="84"/>
      <c r="BO532" s="84"/>
      <c r="BT532" s="84"/>
      <c r="BY532" s="84"/>
      <c r="CC532" s="84"/>
      <c r="CG532" s="84"/>
      <c r="CK532" s="85"/>
      <c r="CL532" s="85"/>
      <c r="CM532" s="84"/>
      <c r="CO532" s="84"/>
      <c r="CT532" s="84"/>
      <c r="CY532" s="84"/>
      <c r="DC532" s="84"/>
      <c r="DG532" s="84"/>
      <c r="DK532" s="84"/>
      <c r="DO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5"/>
      <c r="AM533" s="84"/>
      <c r="AN533" s="84"/>
      <c r="AP533" s="84"/>
      <c r="AU533" s="84"/>
      <c r="AY533" s="86"/>
      <c r="BE533" s="84"/>
      <c r="BJ533" s="84"/>
      <c r="BO533" s="84"/>
      <c r="BT533" s="84"/>
      <c r="BY533" s="84"/>
      <c r="CC533" s="84"/>
      <c r="CG533" s="84"/>
      <c r="CK533" s="85"/>
      <c r="CL533" s="85"/>
      <c r="CM533" s="84"/>
      <c r="CO533" s="84"/>
      <c r="CT533" s="84"/>
      <c r="CY533" s="84"/>
      <c r="DC533" s="84"/>
      <c r="DG533" s="84"/>
      <c r="DK533" s="84"/>
      <c r="DO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5"/>
      <c r="AM534" s="84"/>
      <c r="AN534" s="84"/>
      <c r="AP534" s="84"/>
      <c r="AU534" s="84"/>
      <c r="AY534" s="86"/>
      <c r="BE534" s="84"/>
      <c r="BJ534" s="84"/>
      <c r="BO534" s="84"/>
      <c r="BT534" s="84"/>
      <c r="BY534" s="84"/>
      <c r="CC534" s="84"/>
      <c r="CG534" s="84"/>
      <c r="CK534" s="85"/>
      <c r="CL534" s="85"/>
      <c r="CM534" s="84"/>
      <c r="CO534" s="84"/>
      <c r="CT534" s="84"/>
      <c r="CY534" s="84"/>
      <c r="DC534" s="84"/>
      <c r="DG534" s="84"/>
      <c r="DK534" s="84"/>
      <c r="DO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5"/>
      <c r="AM535" s="84"/>
      <c r="AN535" s="84"/>
      <c r="AP535" s="84"/>
      <c r="AU535" s="84"/>
      <c r="AY535" s="86"/>
      <c r="BE535" s="84"/>
      <c r="BJ535" s="84"/>
      <c r="BO535" s="84"/>
      <c r="BT535" s="84"/>
      <c r="BY535" s="84"/>
      <c r="CC535" s="84"/>
      <c r="CG535" s="84"/>
      <c r="CK535" s="85"/>
      <c r="CL535" s="85"/>
      <c r="CM535" s="84"/>
      <c r="CO535" s="84"/>
      <c r="CT535" s="84"/>
      <c r="CY535" s="84"/>
      <c r="DC535" s="84"/>
      <c r="DG535" s="84"/>
      <c r="DK535" s="84"/>
      <c r="DO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5"/>
      <c r="AM536" s="84"/>
      <c r="AN536" s="84"/>
      <c r="AP536" s="84"/>
      <c r="AU536" s="84"/>
      <c r="AY536" s="86"/>
      <c r="BE536" s="84"/>
      <c r="BJ536" s="84"/>
      <c r="BO536" s="84"/>
      <c r="BT536" s="84"/>
      <c r="BY536" s="84"/>
      <c r="CC536" s="84"/>
      <c r="CG536" s="84"/>
      <c r="CK536" s="85"/>
      <c r="CL536" s="85"/>
      <c r="CM536" s="84"/>
      <c r="CO536" s="84"/>
      <c r="CT536" s="84"/>
      <c r="CY536" s="84"/>
      <c r="DC536" s="84"/>
      <c r="DG536" s="84"/>
      <c r="DK536" s="84"/>
      <c r="DO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5"/>
      <c r="AM537" s="84"/>
      <c r="AN537" s="84"/>
      <c r="AP537" s="84"/>
      <c r="AU537" s="84"/>
      <c r="AY537" s="86"/>
      <c r="BE537" s="84"/>
      <c r="BJ537" s="84"/>
      <c r="BO537" s="84"/>
      <c r="BT537" s="84"/>
      <c r="BY537" s="84"/>
      <c r="CC537" s="84"/>
      <c r="CG537" s="84"/>
      <c r="CK537" s="85"/>
      <c r="CL537" s="85"/>
      <c r="CM537" s="84"/>
      <c r="CO537" s="84"/>
      <c r="CT537" s="84"/>
      <c r="CY537" s="84"/>
      <c r="DC537" s="84"/>
      <c r="DG537" s="84"/>
      <c r="DK537" s="84"/>
      <c r="DO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5"/>
      <c r="AM538" s="84"/>
      <c r="AN538" s="84"/>
      <c r="AP538" s="84"/>
      <c r="AU538" s="84"/>
      <c r="AY538" s="86"/>
      <c r="BE538" s="84"/>
      <c r="BJ538" s="84"/>
      <c r="BO538" s="84"/>
      <c r="BT538" s="84"/>
      <c r="BY538" s="84"/>
      <c r="CC538" s="84"/>
      <c r="CG538" s="84"/>
      <c r="CK538" s="85"/>
      <c r="CL538" s="85"/>
      <c r="CM538" s="84"/>
      <c r="CO538" s="84"/>
      <c r="CT538" s="84"/>
      <c r="CY538" s="84"/>
      <c r="DC538" s="84"/>
      <c r="DG538" s="84"/>
      <c r="DK538" s="84"/>
      <c r="DO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5"/>
      <c r="AM539" s="84"/>
      <c r="AN539" s="84"/>
      <c r="AP539" s="84"/>
      <c r="AU539" s="84"/>
      <c r="AY539" s="86"/>
      <c r="BE539" s="84"/>
      <c r="BJ539" s="84"/>
      <c r="BO539" s="84"/>
      <c r="BT539" s="84"/>
      <c r="BY539" s="84"/>
      <c r="CC539" s="84"/>
      <c r="CG539" s="84"/>
      <c r="CK539" s="85"/>
      <c r="CL539" s="85"/>
      <c r="CM539" s="84"/>
      <c r="CO539" s="84"/>
      <c r="CT539" s="84"/>
      <c r="CY539" s="84"/>
      <c r="DC539" s="84"/>
      <c r="DG539" s="84"/>
      <c r="DK539" s="84"/>
      <c r="DO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5"/>
      <c r="AM540" s="84"/>
      <c r="AN540" s="84"/>
      <c r="AP540" s="84"/>
      <c r="AU540" s="84"/>
      <c r="AY540" s="86"/>
      <c r="BE540" s="84"/>
      <c r="BJ540" s="84"/>
      <c r="BO540" s="84"/>
      <c r="BT540" s="84"/>
      <c r="BY540" s="84"/>
      <c r="CC540" s="84"/>
      <c r="CG540" s="84"/>
      <c r="CK540" s="85"/>
      <c r="CL540" s="85"/>
      <c r="CM540" s="84"/>
      <c r="CO540" s="84"/>
      <c r="CT540" s="84"/>
      <c r="CY540" s="84"/>
      <c r="DC540" s="84"/>
      <c r="DG540" s="84"/>
      <c r="DK540" s="84"/>
      <c r="DO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5"/>
      <c r="AM541" s="84"/>
      <c r="AN541" s="84"/>
      <c r="AP541" s="84"/>
      <c r="AU541" s="84"/>
      <c r="AY541" s="86"/>
      <c r="BE541" s="84"/>
      <c r="BJ541" s="84"/>
      <c r="BO541" s="84"/>
      <c r="BT541" s="84"/>
      <c r="BY541" s="84"/>
      <c r="CC541" s="84"/>
      <c r="CG541" s="84"/>
      <c r="CK541" s="85"/>
      <c r="CL541" s="85"/>
      <c r="CM541" s="84"/>
      <c r="CO541" s="84"/>
      <c r="CT541" s="84"/>
      <c r="CY541" s="84"/>
      <c r="DC541" s="84"/>
      <c r="DG541" s="84"/>
      <c r="DK541" s="84"/>
      <c r="DO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5"/>
      <c r="AM542" s="84"/>
      <c r="AN542" s="84"/>
      <c r="AP542" s="84"/>
      <c r="AU542" s="84"/>
      <c r="AY542" s="86"/>
      <c r="BE542" s="84"/>
      <c r="BJ542" s="84"/>
      <c r="BO542" s="84"/>
      <c r="BT542" s="84"/>
      <c r="BY542" s="84"/>
      <c r="CC542" s="84"/>
      <c r="CG542" s="84"/>
      <c r="CK542" s="85"/>
      <c r="CL542" s="85"/>
      <c r="CM542" s="84"/>
      <c r="CO542" s="84"/>
      <c r="CT542" s="84"/>
      <c r="CY542" s="84"/>
      <c r="DC542" s="84"/>
      <c r="DG542" s="84"/>
      <c r="DK542" s="84"/>
      <c r="DO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5"/>
      <c r="AM543" s="84"/>
      <c r="AN543" s="84"/>
      <c r="AP543" s="84"/>
      <c r="AU543" s="84"/>
      <c r="AY543" s="86"/>
      <c r="BE543" s="84"/>
      <c r="BJ543" s="84"/>
      <c r="BO543" s="84"/>
      <c r="BT543" s="84"/>
      <c r="BY543" s="84"/>
      <c r="CC543" s="84"/>
      <c r="CG543" s="84"/>
      <c r="CK543" s="85"/>
      <c r="CL543" s="85"/>
      <c r="CM543" s="84"/>
      <c r="CO543" s="84"/>
      <c r="CT543" s="84"/>
      <c r="CY543" s="84"/>
      <c r="DC543" s="84"/>
      <c r="DG543" s="84"/>
      <c r="DK543" s="84"/>
      <c r="DO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5"/>
      <c r="AM544" s="84"/>
      <c r="AN544" s="84"/>
      <c r="AP544" s="84"/>
      <c r="AU544" s="84"/>
      <c r="AY544" s="86"/>
      <c r="BE544" s="84"/>
      <c r="BJ544" s="84"/>
      <c r="BO544" s="84"/>
      <c r="BT544" s="84"/>
      <c r="BY544" s="84"/>
      <c r="CC544" s="84"/>
      <c r="CG544" s="84"/>
      <c r="CK544" s="85"/>
      <c r="CL544" s="85"/>
      <c r="CM544" s="84"/>
      <c r="CO544" s="84"/>
      <c r="CT544" s="84"/>
      <c r="CY544" s="84"/>
      <c r="DC544" s="84"/>
      <c r="DG544" s="84"/>
      <c r="DK544" s="84"/>
      <c r="DO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5"/>
      <c r="AM545" s="84"/>
      <c r="AN545" s="84"/>
      <c r="AP545" s="84"/>
      <c r="AU545" s="84"/>
      <c r="AY545" s="86"/>
      <c r="BE545" s="84"/>
      <c r="BJ545" s="84"/>
      <c r="BO545" s="84"/>
      <c r="BT545" s="84"/>
      <c r="BY545" s="84"/>
      <c r="CC545" s="84"/>
      <c r="CG545" s="84"/>
      <c r="CK545" s="85"/>
      <c r="CL545" s="85"/>
      <c r="CM545" s="84"/>
      <c r="CO545" s="84"/>
      <c r="CT545" s="84"/>
      <c r="CY545" s="84"/>
      <c r="DC545" s="84"/>
      <c r="DG545" s="84"/>
      <c r="DK545" s="84"/>
      <c r="DO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5"/>
      <c r="AM546" s="84"/>
      <c r="AN546" s="84"/>
      <c r="AP546" s="84"/>
      <c r="AU546" s="84"/>
      <c r="AY546" s="86"/>
      <c r="BE546" s="84"/>
      <c r="BJ546" s="84"/>
      <c r="BO546" s="84"/>
      <c r="BT546" s="84"/>
      <c r="BY546" s="84"/>
      <c r="CC546" s="84"/>
      <c r="CG546" s="84"/>
      <c r="CK546" s="85"/>
      <c r="CL546" s="85"/>
      <c r="CM546" s="84"/>
      <c r="CO546" s="84"/>
      <c r="CT546" s="84"/>
      <c r="CY546" s="84"/>
      <c r="DC546" s="84"/>
      <c r="DG546" s="84"/>
      <c r="DK546" s="84"/>
      <c r="DO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5"/>
      <c r="AM547" s="84"/>
      <c r="AN547" s="84"/>
      <c r="AP547" s="84"/>
      <c r="AU547" s="84"/>
      <c r="AY547" s="86"/>
      <c r="BE547" s="84"/>
      <c r="BJ547" s="84"/>
      <c r="BO547" s="84"/>
      <c r="BT547" s="84"/>
      <c r="BY547" s="84"/>
      <c r="CC547" s="84"/>
      <c r="CG547" s="84"/>
      <c r="CK547" s="85"/>
      <c r="CL547" s="85"/>
      <c r="CM547" s="84"/>
      <c r="CO547" s="84"/>
      <c r="CT547" s="84"/>
      <c r="CY547" s="84"/>
      <c r="DC547" s="84"/>
      <c r="DG547" s="84"/>
      <c r="DK547" s="84"/>
      <c r="DO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5"/>
      <c r="AM548" s="84"/>
      <c r="AN548" s="84"/>
      <c r="AP548" s="84"/>
      <c r="AU548" s="84"/>
      <c r="AY548" s="86"/>
      <c r="BE548" s="84"/>
      <c r="BJ548" s="84"/>
      <c r="BO548" s="84"/>
      <c r="BT548" s="84"/>
      <c r="BY548" s="84"/>
      <c r="CC548" s="84"/>
      <c r="CG548" s="84"/>
      <c r="CK548" s="85"/>
      <c r="CL548" s="85"/>
      <c r="CM548" s="84"/>
      <c r="CO548" s="84"/>
      <c r="CT548" s="84"/>
      <c r="CY548" s="84"/>
      <c r="DC548" s="84"/>
      <c r="DG548" s="84"/>
      <c r="DK548" s="84"/>
      <c r="DO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5"/>
      <c r="AM549" s="84"/>
      <c r="AN549" s="84"/>
      <c r="AP549" s="84"/>
      <c r="AU549" s="84"/>
      <c r="AY549" s="86"/>
      <c r="BE549" s="84"/>
      <c r="BJ549" s="84"/>
      <c r="BO549" s="84"/>
      <c r="BT549" s="84"/>
      <c r="BY549" s="84"/>
      <c r="CC549" s="84"/>
      <c r="CG549" s="84"/>
      <c r="CK549" s="85"/>
      <c r="CL549" s="85"/>
      <c r="CM549" s="84"/>
      <c r="CO549" s="84"/>
      <c r="CT549" s="84"/>
      <c r="CY549" s="84"/>
      <c r="DC549" s="84"/>
      <c r="DG549" s="84"/>
      <c r="DK549" s="84"/>
      <c r="DO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5"/>
      <c r="AM550" s="84"/>
      <c r="AN550" s="84"/>
      <c r="AP550" s="84"/>
      <c r="AU550" s="84"/>
      <c r="AY550" s="86"/>
      <c r="BE550" s="84"/>
      <c r="BJ550" s="84"/>
      <c r="BO550" s="84"/>
      <c r="BT550" s="84"/>
      <c r="BY550" s="84"/>
      <c r="CC550" s="84"/>
      <c r="CG550" s="84"/>
      <c r="CK550" s="85"/>
      <c r="CL550" s="85"/>
      <c r="CM550" s="84"/>
      <c r="CO550" s="84"/>
      <c r="CT550" s="84"/>
      <c r="CY550" s="84"/>
      <c r="DC550" s="84"/>
      <c r="DG550" s="84"/>
      <c r="DK550" s="84"/>
      <c r="DO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5"/>
      <c r="AM551" s="84"/>
      <c r="AN551" s="84"/>
      <c r="AP551" s="84"/>
      <c r="AU551" s="84"/>
      <c r="AY551" s="86"/>
      <c r="BE551" s="84"/>
      <c r="BJ551" s="84"/>
      <c r="BO551" s="84"/>
      <c r="BT551" s="84"/>
      <c r="BY551" s="84"/>
      <c r="CC551" s="84"/>
      <c r="CG551" s="84"/>
      <c r="CK551" s="85"/>
      <c r="CL551" s="85"/>
      <c r="CM551" s="84"/>
      <c r="CO551" s="84"/>
      <c r="CT551" s="84"/>
      <c r="CY551" s="84"/>
      <c r="DC551" s="84"/>
      <c r="DG551" s="84"/>
      <c r="DK551" s="84"/>
      <c r="DO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5"/>
      <c r="AM552" s="84"/>
      <c r="AN552" s="84"/>
      <c r="AP552" s="84"/>
      <c r="AU552" s="84"/>
      <c r="AY552" s="86"/>
      <c r="BE552" s="84"/>
      <c r="BJ552" s="84"/>
      <c r="BO552" s="84"/>
      <c r="BT552" s="84"/>
      <c r="BY552" s="84"/>
      <c r="CC552" s="84"/>
      <c r="CG552" s="84"/>
      <c r="CK552" s="85"/>
      <c r="CL552" s="85"/>
      <c r="CM552" s="84"/>
      <c r="CO552" s="84"/>
      <c r="CT552" s="84"/>
      <c r="CY552" s="84"/>
      <c r="DC552" s="84"/>
      <c r="DG552" s="84"/>
      <c r="DK552" s="84"/>
      <c r="DO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5"/>
      <c r="AM553" s="84"/>
      <c r="AN553" s="84"/>
      <c r="AP553" s="84"/>
      <c r="AU553" s="84"/>
      <c r="AY553" s="86"/>
      <c r="BE553" s="84"/>
      <c r="BJ553" s="84"/>
      <c r="BO553" s="84"/>
      <c r="BT553" s="84"/>
      <c r="BY553" s="84"/>
      <c r="CC553" s="84"/>
      <c r="CG553" s="84"/>
      <c r="CK553" s="85"/>
      <c r="CL553" s="85"/>
      <c r="CM553" s="84"/>
      <c r="CO553" s="84"/>
      <c r="CT553" s="84"/>
      <c r="CY553" s="84"/>
      <c r="DC553" s="84"/>
      <c r="DG553" s="84"/>
      <c r="DK553" s="84"/>
      <c r="DO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5"/>
      <c r="AM554" s="84"/>
      <c r="AN554" s="84"/>
      <c r="AP554" s="84"/>
      <c r="AU554" s="84"/>
      <c r="AY554" s="86"/>
      <c r="BE554" s="84"/>
      <c r="BJ554" s="84"/>
      <c r="BO554" s="84"/>
      <c r="BT554" s="84"/>
      <c r="BY554" s="84"/>
      <c r="CC554" s="84"/>
      <c r="CG554" s="84"/>
      <c r="CK554" s="85"/>
      <c r="CL554" s="85"/>
      <c r="CM554" s="84"/>
      <c r="CO554" s="84"/>
      <c r="CT554" s="84"/>
      <c r="CY554" s="84"/>
      <c r="DC554" s="84"/>
      <c r="DG554" s="84"/>
      <c r="DK554" s="84"/>
      <c r="DO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5"/>
      <c r="AM555" s="84"/>
      <c r="AN555" s="84"/>
      <c r="AP555" s="84"/>
      <c r="AU555" s="84"/>
      <c r="AY555" s="86"/>
      <c r="BE555" s="84"/>
      <c r="BJ555" s="84"/>
      <c r="BO555" s="84"/>
      <c r="BT555" s="84"/>
      <c r="BY555" s="84"/>
      <c r="CC555" s="84"/>
      <c r="CG555" s="84"/>
      <c r="CK555" s="85"/>
      <c r="CL555" s="85"/>
      <c r="CM555" s="84"/>
      <c r="CO555" s="84"/>
      <c r="CT555" s="84"/>
      <c r="CY555" s="84"/>
      <c r="DC555" s="84"/>
      <c r="DG555" s="84"/>
      <c r="DK555" s="84"/>
      <c r="DO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5"/>
      <c r="AM556" s="84"/>
      <c r="AN556" s="84"/>
      <c r="AP556" s="84"/>
      <c r="AU556" s="84"/>
      <c r="AY556" s="86"/>
      <c r="BE556" s="84"/>
      <c r="BJ556" s="84"/>
      <c r="BO556" s="84"/>
      <c r="BT556" s="84"/>
      <c r="BY556" s="84"/>
      <c r="CC556" s="84"/>
      <c r="CG556" s="84"/>
      <c r="CK556" s="85"/>
      <c r="CL556" s="85"/>
      <c r="CM556" s="84"/>
      <c r="CO556" s="84"/>
      <c r="CT556" s="84"/>
      <c r="CY556" s="84"/>
      <c r="DC556" s="84"/>
      <c r="DG556" s="84"/>
      <c r="DK556" s="84"/>
      <c r="DO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5"/>
      <c r="AM557" s="84"/>
      <c r="AN557" s="84"/>
      <c r="AP557" s="84"/>
      <c r="AU557" s="84"/>
      <c r="AY557" s="86"/>
      <c r="BE557" s="84"/>
      <c r="BJ557" s="84"/>
      <c r="BO557" s="84"/>
      <c r="BT557" s="84"/>
      <c r="BY557" s="84"/>
      <c r="CC557" s="84"/>
      <c r="CG557" s="84"/>
      <c r="CK557" s="85"/>
      <c r="CL557" s="85"/>
      <c r="CM557" s="84"/>
      <c r="CO557" s="84"/>
      <c r="CT557" s="84"/>
      <c r="CY557" s="84"/>
      <c r="DC557" s="84"/>
      <c r="DG557" s="84"/>
      <c r="DK557" s="84"/>
      <c r="DO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5"/>
      <c r="AM558" s="84"/>
      <c r="AN558" s="84"/>
      <c r="AP558" s="84"/>
      <c r="AU558" s="84"/>
      <c r="AY558" s="86"/>
      <c r="BE558" s="84"/>
      <c r="BJ558" s="84"/>
      <c r="BO558" s="84"/>
      <c r="BT558" s="84"/>
      <c r="BY558" s="84"/>
      <c r="CC558" s="84"/>
      <c r="CG558" s="84"/>
      <c r="CK558" s="85"/>
      <c r="CL558" s="85"/>
      <c r="CM558" s="84"/>
      <c r="CO558" s="84"/>
      <c r="CT558" s="84"/>
      <c r="CY558" s="84"/>
      <c r="DC558" s="84"/>
      <c r="DG558" s="84"/>
      <c r="DK558" s="84"/>
      <c r="DO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5"/>
      <c r="AM559" s="84"/>
      <c r="AN559" s="84"/>
      <c r="AP559" s="84"/>
      <c r="AU559" s="84"/>
      <c r="AY559" s="86"/>
      <c r="BE559" s="84"/>
      <c r="BJ559" s="84"/>
      <c r="BO559" s="84"/>
      <c r="BT559" s="84"/>
      <c r="BY559" s="84"/>
      <c r="CC559" s="84"/>
      <c r="CG559" s="84"/>
      <c r="CK559" s="85"/>
      <c r="CL559" s="85"/>
      <c r="CM559" s="84"/>
      <c r="CO559" s="84"/>
      <c r="CT559" s="84"/>
      <c r="CY559" s="84"/>
      <c r="DC559" s="84"/>
      <c r="DG559" s="84"/>
      <c r="DK559" s="84"/>
      <c r="DO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5"/>
      <c r="AM560" s="84"/>
      <c r="AN560" s="84"/>
      <c r="AP560" s="84"/>
      <c r="AU560" s="84"/>
      <c r="AY560" s="86"/>
      <c r="BE560" s="84"/>
      <c r="BJ560" s="84"/>
      <c r="BO560" s="84"/>
      <c r="BT560" s="84"/>
      <c r="BY560" s="84"/>
      <c r="CC560" s="84"/>
      <c r="CG560" s="84"/>
      <c r="CK560" s="85"/>
      <c r="CL560" s="85"/>
      <c r="CM560" s="84"/>
      <c r="CO560" s="84"/>
      <c r="CT560" s="84"/>
      <c r="CY560" s="84"/>
      <c r="DC560" s="84"/>
      <c r="DG560" s="84"/>
      <c r="DK560" s="84"/>
      <c r="DO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5"/>
      <c r="AM561" s="84"/>
      <c r="AN561" s="84"/>
      <c r="AP561" s="84"/>
      <c r="AU561" s="84"/>
      <c r="AY561" s="86"/>
      <c r="BE561" s="84"/>
      <c r="BJ561" s="84"/>
      <c r="BO561" s="84"/>
      <c r="BT561" s="84"/>
      <c r="BY561" s="84"/>
      <c r="CC561" s="84"/>
      <c r="CG561" s="84"/>
      <c r="CK561" s="85"/>
      <c r="CL561" s="85"/>
      <c r="CM561" s="84"/>
      <c r="CO561" s="84"/>
      <c r="CT561" s="84"/>
      <c r="CY561" s="84"/>
      <c r="DC561" s="84"/>
      <c r="DG561" s="84"/>
      <c r="DK561" s="84"/>
      <c r="DO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5"/>
      <c r="AM562" s="84"/>
      <c r="AN562" s="84"/>
      <c r="AP562" s="84"/>
      <c r="AU562" s="84"/>
      <c r="AY562" s="86"/>
      <c r="BE562" s="84"/>
      <c r="BJ562" s="84"/>
      <c r="BO562" s="84"/>
      <c r="BT562" s="84"/>
      <c r="BY562" s="84"/>
      <c r="CC562" s="84"/>
      <c r="CG562" s="84"/>
      <c r="CK562" s="85"/>
      <c r="CL562" s="85"/>
      <c r="CM562" s="84"/>
      <c r="CO562" s="84"/>
      <c r="CT562" s="84"/>
      <c r="CY562" s="84"/>
      <c r="DC562" s="84"/>
      <c r="DG562" s="84"/>
      <c r="DK562" s="84"/>
      <c r="DO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5"/>
      <c r="AM563" s="84"/>
      <c r="AN563" s="84"/>
      <c r="AP563" s="84"/>
      <c r="AU563" s="84"/>
      <c r="AY563" s="86"/>
      <c r="BE563" s="84"/>
      <c r="BJ563" s="84"/>
      <c r="BO563" s="84"/>
      <c r="BT563" s="84"/>
      <c r="BY563" s="84"/>
      <c r="CC563" s="84"/>
      <c r="CG563" s="84"/>
      <c r="CK563" s="85"/>
      <c r="CL563" s="85"/>
      <c r="CM563" s="84"/>
      <c r="CO563" s="84"/>
      <c r="CT563" s="84"/>
      <c r="CY563" s="84"/>
      <c r="DC563" s="84"/>
      <c r="DG563" s="84"/>
      <c r="DK563" s="84"/>
      <c r="DO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5"/>
      <c r="AM564" s="84"/>
      <c r="AN564" s="84"/>
      <c r="AP564" s="84"/>
      <c r="AU564" s="84"/>
      <c r="AY564" s="86"/>
      <c r="BE564" s="84"/>
      <c r="BJ564" s="84"/>
      <c r="BO564" s="84"/>
      <c r="BT564" s="84"/>
      <c r="BY564" s="84"/>
      <c r="CC564" s="84"/>
      <c r="CG564" s="84"/>
      <c r="CK564" s="85"/>
      <c r="CL564" s="85"/>
      <c r="CM564" s="84"/>
      <c r="CO564" s="84"/>
      <c r="CT564" s="84"/>
      <c r="CY564" s="84"/>
      <c r="DC564" s="84"/>
      <c r="DG564" s="84"/>
      <c r="DK564" s="84"/>
      <c r="DO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5"/>
      <c r="AM565" s="84"/>
      <c r="AN565" s="84"/>
      <c r="AP565" s="84"/>
      <c r="AU565" s="84"/>
      <c r="AY565" s="86"/>
      <c r="BE565" s="84"/>
      <c r="BJ565" s="84"/>
      <c r="BO565" s="84"/>
      <c r="BT565" s="84"/>
      <c r="BY565" s="84"/>
      <c r="CC565" s="84"/>
      <c r="CG565" s="84"/>
      <c r="CK565" s="85"/>
      <c r="CL565" s="85"/>
      <c r="CM565" s="84"/>
      <c r="CO565" s="84"/>
      <c r="CT565" s="84"/>
      <c r="CY565" s="84"/>
      <c r="DC565" s="84"/>
      <c r="DG565" s="84"/>
      <c r="DK565" s="84"/>
      <c r="DO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5"/>
      <c r="AM566" s="84"/>
      <c r="AN566" s="84"/>
      <c r="AP566" s="84"/>
      <c r="AU566" s="84"/>
      <c r="AY566" s="86"/>
      <c r="BE566" s="84"/>
      <c r="BJ566" s="84"/>
      <c r="BO566" s="84"/>
      <c r="BT566" s="84"/>
      <c r="BY566" s="84"/>
      <c r="CC566" s="84"/>
      <c r="CG566" s="84"/>
      <c r="CK566" s="85"/>
      <c r="CL566" s="85"/>
      <c r="CM566" s="84"/>
      <c r="CO566" s="84"/>
      <c r="CT566" s="84"/>
      <c r="CY566" s="84"/>
      <c r="DC566" s="84"/>
      <c r="DG566" s="84"/>
      <c r="DK566" s="84"/>
      <c r="DO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5"/>
      <c r="AM567" s="84"/>
      <c r="AN567" s="84"/>
      <c r="AP567" s="84"/>
      <c r="AU567" s="84"/>
      <c r="AY567" s="86"/>
      <c r="BE567" s="84"/>
      <c r="BJ567" s="84"/>
      <c r="BO567" s="84"/>
      <c r="BT567" s="84"/>
      <c r="BY567" s="84"/>
      <c r="CC567" s="84"/>
      <c r="CG567" s="84"/>
      <c r="CK567" s="85"/>
      <c r="CL567" s="85"/>
      <c r="CM567" s="84"/>
      <c r="CO567" s="84"/>
      <c r="CT567" s="84"/>
      <c r="CY567" s="84"/>
      <c r="DC567" s="84"/>
      <c r="DG567" s="84"/>
      <c r="DK567" s="84"/>
      <c r="DO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5"/>
      <c r="AM568" s="84"/>
      <c r="AN568" s="84"/>
      <c r="AP568" s="84"/>
      <c r="AU568" s="84"/>
      <c r="AY568" s="86"/>
      <c r="BE568" s="84"/>
      <c r="BJ568" s="84"/>
      <c r="BO568" s="84"/>
      <c r="BT568" s="84"/>
      <c r="BY568" s="84"/>
      <c r="CC568" s="84"/>
      <c r="CG568" s="84"/>
      <c r="CK568" s="85"/>
      <c r="CL568" s="85"/>
      <c r="CM568" s="84"/>
      <c r="CO568" s="84"/>
      <c r="CT568" s="84"/>
      <c r="CY568" s="84"/>
      <c r="DC568" s="84"/>
      <c r="DG568" s="84"/>
      <c r="DK568" s="84"/>
      <c r="DO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5"/>
      <c r="AM569" s="84"/>
      <c r="AN569" s="84"/>
      <c r="AP569" s="84"/>
      <c r="AU569" s="84"/>
      <c r="AY569" s="86"/>
      <c r="BE569" s="84"/>
      <c r="BJ569" s="84"/>
      <c r="BO569" s="84"/>
      <c r="BT569" s="84"/>
      <c r="BY569" s="84"/>
      <c r="CC569" s="84"/>
      <c r="CG569" s="84"/>
      <c r="CK569" s="85"/>
      <c r="CL569" s="85"/>
      <c r="CM569" s="84"/>
      <c r="CO569" s="84"/>
      <c r="CT569" s="84"/>
      <c r="CY569" s="84"/>
      <c r="DC569" s="84"/>
      <c r="DG569" s="84"/>
      <c r="DK569" s="84"/>
      <c r="DO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5"/>
      <c r="AM570" s="84"/>
      <c r="AN570" s="84"/>
      <c r="AP570" s="84"/>
      <c r="AU570" s="84"/>
      <c r="AY570" s="86"/>
      <c r="BE570" s="84"/>
      <c r="BJ570" s="84"/>
      <c r="BO570" s="84"/>
      <c r="BT570" s="84"/>
      <c r="BY570" s="84"/>
      <c r="CC570" s="84"/>
      <c r="CG570" s="84"/>
      <c r="CK570" s="85"/>
      <c r="CL570" s="85"/>
      <c r="CM570" s="84"/>
      <c r="CO570" s="84"/>
      <c r="CT570" s="84"/>
      <c r="CY570" s="84"/>
      <c r="DC570" s="84"/>
      <c r="DG570" s="84"/>
      <c r="DK570" s="84"/>
      <c r="DO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5"/>
      <c r="AM571" s="84"/>
      <c r="AN571" s="84"/>
      <c r="AP571" s="84"/>
      <c r="AU571" s="84"/>
      <c r="AY571" s="86"/>
      <c r="BE571" s="84"/>
      <c r="BJ571" s="84"/>
      <c r="BO571" s="84"/>
      <c r="BT571" s="84"/>
      <c r="BY571" s="84"/>
      <c r="CC571" s="84"/>
      <c r="CG571" s="84"/>
      <c r="CK571" s="85"/>
      <c r="CL571" s="85"/>
      <c r="CM571" s="84"/>
      <c r="CO571" s="84"/>
      <c r="CT571" s="84"/>
      <c r="CY571" s="84"/>
      <c r="DC571" s="84"/>
      <c r="DG571" s="84"/>
      <c r="DK571" s="84"/>
      <c r="DO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5"/>
      <c r="AM572" s="84"/>
      <c r="AN572" s="84"/>
      <c r="AP572" s="84"/>
      <c r="AU572" s="84"/>
      <c r="AY572" s="86"/>
      <c r="BE572" s="84"/>
      <c r="BJ572" s="84"/>
      <c r="BO572" s="84"/>
      <c r="BT572" s="84"/>
      <c r="BY572" s="84"/>
      <c r="CC572" s="84"/>
      <c r="CG572" s="84"/>
      <c r="CK572" s="85"/>
      <c r="CL572" s="85"/>
      <c r="CM572" s="84"/>
      <c r="CO572" s="84"/>
      <c r="CT572" s="84"/>
      <c r="CY572" s="84"/>
      <c r="DC572" s="84"/>
      <c r="DG572" s="84"/>
      <c r="DK572" s="84"/>
      <c r="DO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5"/>
      <c r="AM573" s="84"/>
      <c r="AN573" s="84"/>
      <c r="AP573" s="84"/>
      <c r="AU573" s="84"/>
      <c r="AY573" s="86"/>
      <c r="BE573" s="84"/>
      <c r="BJ573" s="84"/>
      <c r="BO573" s="84"/>
      <c r="BT573" s="84"/>
      <c r="BY573" s="84"/>
      <c r="CC573" s="84"/>
      <c r="CG573" s="84"/>
      <c r="CK573" s="85"/>
      <c r="CL573" s="85"/>
      <c r="CM573" s="84"/>
      <c r="CO573" s="84"/>
      <c r="CT573" s="84"/>
      <c r="CY573" s="84"/>
      <c r="DC573" s="84"/>
      <c r="DG573" s="84"/>
      <c r="DK573" s="84"/>
      <c r="DO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5"/>
      <c r="AM574" s="84"/>
      <c r="AN574" s="84"/>
      <c r="AP574" s="84"/>
      <c r="AU574" s="84"/>
      <c r="AY574" s="86"/>
      <c r="BE574" s="84"/>
      <c r="BJ574" s="84"/>
      <c r="BO574" s="84"/>
      <c r="BT574" s="84"/>
      <c r="BY574" s="84"/>
      <c r="CC574" s="84"/>
      <c r="CG574" s="84"/>
      <c r="CK574" s="85"/>
      <c r="CL574" s="85"/>
      <c r="CM574" s="84"/>
      <c r="CO574" s="84"/>
      <c r="CT574" s="84"/>
      <c r="CY574" s="84"/>
      <c r="DC574" s="84"/>
      <c r="DG574" s="84"/>
      <c r="DK574" s="84"/>
      <c r="DO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5"/>
      <c r="AM575" s="84"/>
      <c r="AN575" s="84"/>
      <c r="AP575" s="84"/>
      <c r="AU575" s="84"/>
      <c r="AY575" s="86"/>
      <c r="BE575" s="84"/>
      <c r="BJ575" s="84"/>
      <c r="BO575" s="84"/>
      <c r="BT575" s="84"/>
      <c r="BY575" s="84"/>
      <c r="CC575" s="84"/>
      <c r="CG575" s="84"/>
      <c r="CK575" s="85"/>
      <c r="CL575" s="85"/>
      <c r="CM575" s="84"/>
      <c r="CO575" s="84"/>
      <c r="CT575" s="84"/>
      <c r="CY575" s="84"/>
      <c r="DC575" s="84"/>
      <c r="DG575" s="84"/>
      <c r="DK575" s="84"/>
      <c r="DO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5"/>
      <c r="AM576" s="84"/>
      <c r="AN576" s="84"/>
      <c r="AP576" s="84"/>
      <c r="AU576" s="84"/>
      <c r="AY576" s="86"/>
      <c r="BE576" s="84"/>
      <c r="BJ576" s="84"/>
      <c r="BO576" s="84"/>
      <c r="BT576" s="84"/>
      <c r="BY576" s="84"/>
      <c r="CC576" s="84"/>
      <c r="CG576" s="84"/>
      <c r="CK576" s="85"/>
      <c r="CL576" s="85"/>
      <c r="CM576" s="84"/>
      <c r="CO576" s="84"/>
      <c r="CT576" s="84"/>
      <c r="CY576" s="84"/>
      <c r="DC576" s="84"/>
      <c r="DG576" s="84"/>
      <c r="DK576" s="84"/>
      <c r="DO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5"/>
      <c r="AM577" s="84"/>
      <c r="AN577" s="84"/>
      <c r="AP577" s="84"/>
      <c r="AU577" s="84"/>
      <c r="AY577" s="86"/>
      <c r="BE577" s="84"/>
      <c r="BJ577" s="84"/>
      <c r="BO577" s="84"/>
      <c r="BT577" s="84"/>
      <c r="BY577" s="84"/>
      <c r="CC577" s="84"/>
      <c r="CG577" s="84"/>
      <c r="CK577" s="85"/>
      <c r="CL577" s="85"/>
      <c r="CM577" s="84"/>
      <c r="CO577" s="84"/>
      <c r="CT577" s="84"/>
      <c r="CY577" s="84"/>
      <c r="DC577" s="84"/>
      <c r="DG577" s="84"/>
      <c r="DK577" s="84"/>
      <c r="DO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5"/>
      <c r="AM578" s="84"/>
      <c r="AN578" s="84"/>
      <c r="AP578" s="84"/>
      <c r="AU578" s="84"/>
      <c r="AY578" s="86"/>
      <c r="BE578" s="84"/>
      <c r="BJ578" s="84"/>
      <c r="BO578" s="84"/>
      <c r="BT578" s="84"/>
      <c r="BY578" s="84"/>
      <c r="CC578" s="84"/>
      <c r="CG578" s="84"/>
      <c r="CK578" s="85"/>
      <c r="CL578" s="85"/>
      <c r="CM578" s="84"/>
      <c r="CO578" s="84"/>
      <c r="CT578" s="84"/>
      <c r="CY578" s="84"/>
      <c r="DC578" s="84"/>
      <c r="DG578" s="84"/>
      <c r="DK578" s="84"/>
      <c r="DO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5"/>
      <c r="AM579" s="84"/>
      <c r="AN579" s="84"/>
      <c r="AP579" s="84"/>
      <c r="AU579" s="84"/>
      <c r="AY579" s="86"/>
      <c r="BE579" s="84"/>
      <c r="BJ579" s="84"/>
      <c r="BO579" s="84"/>
      <c r="BT579" s="84"/>
      <c r="BY579" s="84"/>
      <c r="CC579" s="84"/>
      <c r="CG579" s="84"/>
      <c r="CK579" s="85"/>
      <c r="CL579" s="85"/>
      <c r="CM579" s="84"/>
      <c r="CO579" s="84"/>
      <c r="CT579" s="84"/>
      <c r="CY579" s="84"/>
      <c r="DC579" s="84"/>
      <c r="DG579" s="84"/>
      <c r="DK579" s="84"/>
      <c r="DO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5"/>
      <c r="AM580" s="84"/>
      <c r="AN580" s="84"/>
      <c r="AP580" s="84"/>
      <c r="AU580" s="84"/>
      <c r="AY580" s="86"/>
      <c r="BE580" s="84"/>
      <c r="BJ580" s="84"/>
      <c r="BO580" s="84"/>
      <c r="BT580" s="84"/>
      <c r="BY580" s="84"/>
      <c r="CC580" s="84"/>
      <c r="CG580" s="84"/>
      <c r="CK580" s="85"/>
      <c r="CL580" s="85"/>
      <c r="CM580" s="84"/>
      <c r="CO580" s="84"/>
      <c r="CT580" s="84"/>
      <c r="CY580" s="84"/>
      <c r="DC580" s="84"/>
      <c r="DG580" s="84"/>
      <c r="DK580" s="84"/>
      <c r="DO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5"/>
      <c r="AM581" s="84"/>
      <c r="AN581" s="84"/>
      <c r="AP581" s="84"/>
      <c r="AU581" s="84"/>
      <c r="AY581" s="86"/>
      <c r="BE581" s="84"/>
      <c r="BJ581" s="84"/>
      <c r="BO581" s="84"/>
      <c r="BT581" s="84"/>
      <c r="BY581" s="84"/>
      <c r="CC581" s="84"/>
      <c r="CG581" s="84"/>
      <c r="CK581" s="85"/>
      <c r="CL581" s="85"/>
      <c r="CM581" s="84"/>
      <c r="CO581" s="84"/>
      <c r="CT581" s="84"/>
      <c r="CY581" s="84"/>
      <c r="DC581" s="84"/>
      <c r="DG581" s="84"/>
      <c r="DK581" s="84"/>
      <c r="DO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5"/>
      <c r="AM582" s="84"/>
      <c r="AN582" s="84"/>
      <c r="AP582" s="84"/>
      <c r="AU582" s="84"/>
      <c r="AY582" s="86"/>
      <c r="BE582" s="84"/>
      <c r="BJ582" s="84"/>
      <c r="BO582" s="84"/>
      <c r="BT582" s="84"/>
      <c r="BY582" s="84"/>
      <c r="CC582" s="84"/>
      <c r="CG582" s="84"/>
      <c r="CK582" s="85"/>
      <c r="CL582" s="85"/>
      <c r="CM582" s="84"/>
      <c r="CO582" s="84"/>
      <c r="CT582" s="84"/>
      <c r="CY582" s="84"/>
      <c r="DC582" s="84"/>
      <c r="DG582" s="84"/>
      <c r="DK582" s="84"/>
      <c r="DO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5"/>
      <c r="AM583" s="84"/>
      <c r="AN583" s="84"/>
      <c r="AP583" s="84"/>
      <c r="AU583" s="84"/>
      <c r="AY583" s="86"/>
      <c r="BE583" s="84"/>
      <c r="BJ583" s="84"/>
      <c r="BO583" s="84"/>
      <c r="BT583" s="84"/>
      <c r="BY583" s="84"/>
      <c r="CC583" s="84"/>
      <c r="CG583" s="84"/>
      <c r="CK583" s="85"/>
      <c r="CL583" s="85"/>
      <c r="CM583" s="84"/>
      <c r="CO583" s="84"/>
      <c r="CT583" s="84"/>
      <c r="CY583" s="84"/>
      <c r="DC583" s="84"/>
      <c r="DG583" s="84"/>
      <c r="DK583" s="84"/>
      <c r="DO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5"/>
      <c r="AM584" s="84"/>
      <c r="AN584" s="84"/>
      <c r="AP584" s="84"/>
      <c r="AU584" s="84"/>
      <c r="AY584" s="86"/>
      <c r="BE584" s="84"/>
      <c r="BJ584" s="84"/>
      <c r="BO584" s="84"/>
      <c r="BT584" s="84"/>
      <c r="BY584" s="84"/>
      <c r="CC584" s="84"/>
      <c r="CG584" s="84"/>
      <c r="CK584" s="85"/>
      <c r="CL584" s="85"/>
      <c r="CM584" s="84"/>
      <c r="CO584" s="84"/>
      <c r="CT584" s="84"/>
      <c r="CY584" s="84"/>
      <c r="DC584" s="84"/>
      <c r="DG584" s="84"/>
      <c r="DK584" s="84"/>
      <c r="DO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5"/>
      <c r="AM585" s="84"/>
      <c r="AN585" s="84"/>
      <c r="AP585" s="84"/>
      <c r="AU585" s="84"/>
      <c r="AY585" s="86"/>
      <c r="BE585" s="84"/>
      <c r="BJ585" s="84"/>
      <c r="BO585" s="84"/>
      <c r="BT585" s="84"/>
      <c r="BY585" s="84"/>
      <c r="CC585" s="84"/>
      <c r="CG585" s="84"/>
      <c r="CK585" s="85"/>
      <c r="CL585" s="85"/>
      <c r="CM585" s="84"/>
      <c r="CO585" s="84"/>
      <c r="CT585" s="84"/>
      <c r="CY585" s="84"/>
      <c r="DC585" s="84"/>
      <c r="DG585" s="84"/>
      <c r="DK585" s="84"/>
      <c r="DO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5"/>
      <c r="AM586" s="84"/>
      <c r="AN586" s="84"/>
      <c r="AP586" s="84"/>
      <c r="AU586" s="84"/>
      <c r="AY586" s="86"/>
      <c r="BE586" s="84"/>
      <c r="BJ586" s="84"/>
      <c r="BO586" s="84"/>
      <c r="BT586" s="84"/>
      <c r="BY586" s="84"/>
      <c r="CC586" s="84"/>
      <c r="CG586" s="84"/>
      <c r="CK586" s="85"/>
      <c r="CL586" s="85"/>
      <c r="CM586" s="84"/>
      <c r="CO586" s="84"/>
      <c r="CT586" s="84"/>
      <c r="CY586" s="84"/>
      <c r="DC586" s="84"/>
      <c r="DG586" s="84"/>
      <c r="DK586" s="84"/>
      <c r="DO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5"/>
      <c r="AM587" s="84"/>
      <c r="AN587" s="84"/>
      <c r="AP587" s="84"/>
      <c r="AU587" s="84"/>
      <c r="AY587" s="86"/>
      <c r="BE587" s="84"/>
      <c r="BJ587" s="84"/>
      <c r="BO587" s="84"/>
      <c r="BT587" s="84"/>
      <c r="BY587" s="84"/>
      <c r="CC587" s="84"/>
      <c r="CG587" s="84"/>
      <c r="CK587" s="85"/>
      <c r="CL587" s="85"/>
      <c r="CM587" s="84"/>
      <c r="CO587" s="84"/>
      <c r="CT587" s="84"/>
      <c r="CY587" s="84"/>
      <c r="DC587" s="84"/>
      <c r="DG587" s="84"/>
      <c r="DK587" s="84"/>
      <c r="DO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5"/>
      <c r="AM588" s="84"/>
      <c r="AN588" s="84"/>
      <c r="AP588" s="84"/>
      <c r="AU588" s="84"/>
      <c r="AY588" s="86"/>
      <c r="BE588" s="84"/>
      <c r="BJ588" s="84"/>
      <c r="BO588" s="84"/>
      <c r="BT588" s="84"/>
      <c r="BY588" s="84"/>
      <c r="CC588" s="84"/>
      <c r="CG588" s="84"/>
      <c r="CK588" s="85"/>
      <c r="CL588" s="85"/>
      <c r="CM588" s="84"/>
      <c r="CO588" s="84"/>
      <c r="CT588" s="84"/>
      <c r="CY588" s="84"/>
      <c r="DC588" s="84"/>
      <c r="DG588" s="84"/>
      <c r="DK588" s="84"/>
      <c r="DO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5"/>
      <c r="AM589" s="84"/>
      <c r="AN589" s="84"/>
      <c r="AP589" s="84"/>
      <c r="AU589" s="84"/>
      <c r="AY589" s="86"/>
      <c r="BE589" s="84"/>
      <c r="BJ589" s="84"/>
      <c r="BO589" s="84"/>
      <c r="BT589" s="84"/>
      <c r="BY589" s="84"/>
      <c r="CC589" s="84"/>
      <c r="CG589" s="84"/>
      <c r="CK589" s="85"/>
      <c r="CL589" s="85"/>
      <c r="CM589" s="84"/>
      <c r="CO589" s="84"/>
      <c r="CT589" s="84"/>
      <c r="CY589" s="84"/>
      <c r="DC589" s="84"/>
      <c r="DG589" s="84"/>
      <c r="DK589" s="84"/>
      <c r="DO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5"/>
      <c r="AM590" s="84"/>
      <c r="AN590" s="84"/>
      <c r="AP590" s="84"/>
      <c r="AU590" s="84"/>
      <c r="AY590" s="86"/>
      <c r="BE590" s="84"/>
      <c r="BJ590" s="84"/>
      <c r="BO590" s="84"/>
      <c r="BT590" s="84"/>
      <c r="BY590" s="84"/>
      <c r="CC590" s="84"/>
      <c r="CG590" s="84"/>
      <c r="CK590" s="85"/>
      <c r="CL590" s="85"/>
      <c r="CM590" s="84"/>
      <c r="CO590" s="84"/>
      <c r="CT590" s="84"/>
      <c r="CY590" s="84"/>
      <c r="DC590" s="84"/>
      <c r="DG590" s="84"/>
      <c r="DK590" s="84"/>
      <c r="DO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5"/>
      <c r="AM591" s="84"/>
      <c r="AN591" s="84"/>
      <c r="AP591" s="84"/>
      <c r="AU591" s="84"/>
      <c r="AY591" s="86"/>
      <c r="BE591" s="84"/>
      <c r="BJ591" s="84"/>
      <c r="BO591" s="84"/>
      <c r="BT591" s="84"/>
      <c r="BY591" s="84"/>
      <c r="CC591" s="84"/>
      <c r="CG591" s="84"/>
      <c r="CK591" s="85"/>
      <c r="CL591" s="85"/>
      <c r="CM591" s="84"/>
      <c r="CO591" s="84"/>
      <c r="CT591" s="84"/>
      <c r="CY591" s="84"/>
      <c r="DC591" s="84"/>
      <c r="DG591" s="84"/>
      <c r="DK591" s="84"/>
      <c r="DO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5"/>
      <c r="AM592" s="84"/>
      <c r="AN592" s="84"/>
      <c r="AP592" s="84"/>
      <c r="AU592" s="84"/>
      <c r="AY592" s="86"/>
      <c r="BE592" s="84"/>
      <c r="BJ592" s="84"/>
      <c r="BO592" s="84"/>
      <c r="BT592" s="84"/>
      <c r="BY592" s="84"/>
      <c r="CC592" s="84"/>
      <c r="CG592" s="84"/>
      <c r="CK592" s="85"/>
      <c r="CL592" s="85"/>
      <c r="CM592" s="84"/>
      <c r="CO592" s="84"/>
      <c r="CT592" s="84"/>
      <c r="CY592" s="84"/>
      <c r="DC592" s="84"/>
      <c r="DG592" s="84"/>
      <c r="DK592" s="84"/>
      <c r="DO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5"/>
      <c r="AM593" s="84"/>
      <c r="AN593" s="84"/>
      <c r="AP593" s="84"/>
      <c r="AU593" s="84"/>
      <c r="AY593" s="86"/>
      <c r="BE593" s="84"/>
      <c r="BJ593" s="84"/>
      <c r="BO593" s="84"/>
      <c r="BT593" s="84"/>
      <c r="BY593" s="84"/>
      <c r="CC593" s="84"/>
      <c r="CG593" s="84"/>
      <c r="CK593" s="85"/>
      <c r="CL593" s="85"/>
      <c r="CM593" s="84"/>
      <c r="CO593" s="84"/>
      <c r="CT593" s="84"/>
      <c r="CY593" s="84"/>
      <c r="DC593" s="84"/>
      <c r="DG593" s="84"/>
      <c r="DK593" s="84"/>
      <c r="DO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5"/>
      <c r="AM594" s="84"/>
      <c r="AN594" s="84"/>
      <c r="AP594" s="84"/>
      <c r="AU594" s="84"/>
      <c r="AY594" s="86"/>
      <c r="BE594" s="84"/>
      <c r="BJ594" s="84"/>
      <c r="BO594" s="84"/>
      <c r="BT594" s="84"/>
      <c r="BY594" s="84"/>
      <c r="CC594" s="84"/>
      <c r="CG594" s="84"/>
      <c r="CK594" s="85"/>
      <c r="CL594" s="85"/>
      <c r="CM594" s="84"/>
      <c r="CO594" s="84"/>
      <c r="CT594" s="84"/>
      <c r="CY594" s="84"/>
      <c r="DC594" s="84"/>
      <c r="DG594" s="84"/>
      <c r="DK594" s="84"/>
      <c r="DO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5"/>
      <c r="AM595" s="84"/>
      <c r="AN595" s="84"/>
      <c r="AP595" s="84"/>
      <c r="AU595" s="84"/>
      <c r="AY595" s="86"/>
      <c r="BE595" s="84"/>
      <c r="BJ595" s="84"/>
      <c r="BO595" s="84"/>
      <c r="BT595" s="84"/>
      <c r="BY595" s="84"/>
      <c r="CC595" s="84"/>
      <c r="CG595" s="84"/>
      <c r="CK595" s="85"/>
      <c r="CL595" s="85"/>
      <c r="CM595" s="84"/>
      <c r="CO595" s="84"/>
      <c r="CT595" s="84"/>
      <c r="CY595" s="84"/>
      <c r="DC595" s="84"/>
      <c r="DG595" s="84"/>
      <c r="DK595" s="84"/>
      <c r="DO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5"/>
      <c r="AM596" s="84"/>
      <c r="AN596" s="84"/>
      <c r="AP596" s="84"/>
      <c r="AU596" s="84"/>
      <c r="AY596" s="86"/>
      <c r="BE596" s="84"/>
      <c r="BJ596" s="84"/>
      <c r="BO596" s="84"/>
      <c r="BT596" s="84"/>
      <c r="BY596" s="84"/>
      <c r="CC596" s="84"/>
      <c r="CG596" s="84"/>
      <c r="CK596" s="85"/>
      <c r="CL596" s="85"/>
      <c r="CM596" s="84"/>
      <c r="CO596" s="84"/>
      <c r="CT596" s="84"/>
      <c r="CY596" s="84"/>
      <c r="DC596" s="84"/>
      <c r="DG596" s="84"/>
      <c r="DK596" s="84"/>
      <c r="DO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5"/>
      <c r="AM597" s="84"/>
      <c r="AN597" s="84"/>
      <c r="AP597" s="84"/>
      <c r="AU597" s="84"/>
      <c r="AY597" s="86"/>
      <c r="BE597" s="84"/>
      <c r="BJ597" s="84"/>
      <c r="BO597" s="84"/>
      <c r="BT597" s="84"/>
      <c r="BY597" s="84"/>
      <c r="CC597" s="84"/>
      <c r="CG597" s="84"/>
      <c r="CK597" s="85"/>
      <c r="CL597" s="85"/>
      <c r="CM597" s="84"/>
      <c r="CO597" s="84"/>
      <c r="CT597" s="84"/>
      <c r="CY597" s="84"/>
      <c r="DC597" s="84"/>
      <c r="DG597" s="84"/>
      <c r="DK597" s="84"/>
      <c r="DO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5"/>
      <c r="AM598" s="84"/>
      <c r="AN598" s="84"/>
      <c r="AP598" s="84"/>
      <c r="AU598" s="84"/>
      <c r="AY598" s="86"/>
      <c r="BE598" s="84"/>
      <c r="BJ598" s="84"/>
      <c r="BO598" s="84"/>
      <c r="BT598" s="84"/>
      <c r="BY598" s="84"/>
      <c r="CC598" s="84"/>
      <c r="CG598" s="84"/>
      <c r="CK598" s="85"/>
      <c r="CL598" s="85"/>
      <c r="CM598" s="84"/>
      <c r="CO598" s="84"/>
      <c r="CT598" s="84"/>
      <c r="CY598" s="84"/>
      <c r="DC598" s="84"/>
      <c r="DG598" s="84"/>
      <c r="DK598" s="84"/>
      <c r="DO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5"/>
      <c r="AM599" s="84"/>
      <c r="AN599" s="84"/>
      <c r="AP599" s="84"/>
      <c r="AU599" s="84"/>
      <c r="AY599" s="86"/>
      <c r="BE599" s="84"/>
      <c r="BJ599" s="84"/>
      <c r="BO599" s="84"/>
      <c r="BT599" s="84"/>
      <c r="BY599" s="84"/>
      <c r="CC599" s="84"/>
      <c r="CG599" s="84"/>
      <c r="CK599" s="85"/>
      <c r="CL599" s="85"/>
      <c r="CM599" s="84"/>
      <c r="CO599" s="84"/>
      <c r="CT599" s="84"/>
      <c r="CY599" s="84"/>
      <c r="DC599" s="84"/>
      <c r="DG599" s="84"/>
      <c r="DK599" s="84"/>
      <c r="DO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5"/>
      <c r="AM600" s="84"/>
      <c r="AN600" s="84"/>
      <c r="AP600" s="84"/>
      <c r="AU600" s="84"/>
      <c r="AY600" s="86"/>
      <c r="BE600" s="84"/>
      <c r="BJ600" s="84"/>
      <c r="BO600" s="84"/>
      <c r="BT600" s="84"/>
      <c r="BY600" s="84"/>
      <c r="CC600" s="84"/>
      <c r="CG600" s="84"/>
      <c r="CK600" s="85"/>
      <c r="CL600" s="85"/>
      <c r="CM600" s="84"/>
      <c r="CO600" s="84"/>
      <c r="CT600" s="84"/>
      <c r="CY600" s="84"/>
      <c r="DC600" s="84"/>
      <c r="DG600" s="84"/>
      <c r="DK600" s="84"/>
      <c r="DO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5"/>
      <c r="AM601" s="84"/>
      <c r="AN601" s="84"/>
      <c r="AP601" s="84"/>
      <c r="AU601" s="84"/>
      <c r="AY601" s="86"/>
      <c r="BE601" s="84"/>
      <c r="BJ601" s="84"/>
      <c r="BO601" s="84"/>
      <c r="BT601" s="84"/>
      <c r="BY601" s="84"/>
      <c r="CC601" s="84"/>
      <c r="CG601" s="84"/>
      <c r="CK601" s="85"/>
      <c r="CL601" s="85"/>
      <c r="CM601" s="84"/>
      <c r="CO601" s="84"/>
      <c r="CT601" s="84"/>
      <c r="CY601" s="84"/>
      <c r="DC601" s="84"/>
      <c r="DG601" s="84"/>
      <c r="DK601" s="84"/>
      <c r="DO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5"/>
      <c r="AM602" s="84"/>
      <c r="AN602" s="84"/>
      <c r="AP602" s="84"/>
      <c r="AU602" s="84"/>
      <c r="AY602" s="86"/>
      <c r="BE602" s="84"/>
      <c r="BJ602" s="84"/>
      <c r="BO602" s="84"/>
      <c r="BT602" s="84"/>
      <c r="BY602" s="84"/>
      <c r="CC602" s="84"/>
      <c r="CG602" s="84"/>
      <c r="CK602" s="85"/>
      <c r="CL602" s="85"/>
      <c r="CM602" s="84"/>
      <c r="CO602" s="84"/>
      <c r="CT602" s="84"/>
      <c r="CY602" s="84"/>
      <c r="DC602" s="84"/>
      <c r="DG602" s="84"/>
      <c r="DK602" s="84"/>
      <c r="DO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5"/>
      <c r="AM603" s="84"/>
      <c r="AN603" s="84"/>
      <c r="AP603" s="84"/>
      <c r="AU603" s="84"/>
      <c r="AY603" s="86"/>
      <c r="BE603" s="84"/>
      <c r="BJ603" s="84"/>
      <c r="BO603" s="84"/>
      <c r="BT603" s="84"/>
      <c r="BY603" s="84"/>
      <c r="CC603" s="84"/>
      <c r="CG603" s="84"/>
      <c r="CK603" s="85"/>
      <c r="CL603" s="85"/>
      <c r="CM603" s="84"/>
      <c r="CO603" s="84"/>
      <c r="CT603" s="84"/>
      <c r="CY603" s="84"/>
      <c r="DC603" s="84"/>
      <c r="DG603" s="84"/>
      <c r="DK603" s="84"/>
      <c r="DO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5"/>
      <c r="AM604" s="84"/>
      <c r="AN604" s="84"/>
      <c r="AP604" s="84"/>
      <c r="AU604" s="84"/>
      <c r="AY604" s="86"/>
      <c r="BE604" s="84"/>
      <c r="BJ604" s="84"/>
      <c r="BO604" s="84"/>
      <c r="BT604" s="84"/>
      <c r="BY604" s="84"/>
      <c r="CC604" s="84"/>
      <c r="CG604" s="84"/>
      <c r="CK604" s="85"/>
      <c r="CL604" s="85"/>
      <c r="CM604" s="84"/>
      <c r="CO604" s="84"/>
      <c r="CT604" s="84"/>
      <c r="CY604" s="84"/>
      <c r="DC604" s="84"/>
      <c r="DG604" s="84"/>
      <c r="DK604" s="84"/>
      <c r="DO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5"/>
      <c r="AM605" s="84"/>
      <c r="AN605" s="84"/>
      <c r="AP605" s="84"/>
      <c r="AU605" s="84"/>
      <c r="AY605" s="86"/>
      <c r="BE605" s="84"/>
      <c r="BJ605" s="84"/>
      <c r="BO605" s="84"/>
      <c r="BT605" s="84"/>
      <c r="BY605" s="84"/>
      <c r="CC605" s="84"/>
      <c r="CG605" s="84"/>
      <c r="CK605" s="85"/>
      <c r="CL605" s="85"/>
      <c r="CM605" s="84"/>
      <c r="CO605" s="84"/>
      <c r="CT605" s="84"/>
      <c r="CY605" s="84"/>
      <c r="DC605" s="84"/>
      <c r="DG605" s="84"/>
      <c r="DK605" s="84"/>
      <c r="DO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5"/>
      <c r="AM606" s="84"/>
      <c r="AN606" s="84"/>
      <c r="AP606" s="84"/>
      <c r="AU606" s="84"/>
      <c r="AY606" s="86"/>
      <c r="BE606" s="84"/>
      <c r="BJ606" s="84"/>
      <c r="BO606" s="84"/>
      <c r="BT606" s="84"/>
      <c r="BY606" s="84"/>
      <c r="CC606" s="84"/>
      <c r="CG606" s="84"/>
      <c r="CK606" s="85"/>
      <c r="CL606" s="85"/>
      <c r="CM606" s="84"/>
      <c r="CO606" s="84"/>
      <c r="CT606" s="84"/>
      <c r="CY606" s="84"/>
      <c r="DC606" s="84"/>
      <c r="DG606" s="84"/>
      <c r="DK606" s="84"/>
      <c r="DO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5"/>
      <c r="AM607" s="84"/>
      <c r="AN607" s="84"/>
      <c r="AP607" s="84"/>
      <c r="AU607" s="84"/>
      <c r="AY607" s="86"/>
      <c r="BE607" s="84"/>
      <c r="BJ607" s="84"/>
      <c r="BO607" s="84"/>
      <c r="BT607" s="84"/>
      <c r="BY607" s="84"/>
      <c r="CC607" s="84"/>
      <c r="CG607" s="84"/>
      <c r="CK607" s="85"/>
      <c r="CL607" s="85"/>
      <c r="CM607" s="84"/>
      <c r="CO607" s="84"/>
      <c r="CT607" s="84"/>
      <c r="CY607" s="84"/>
      <c r="DC607" s="84"/>
      <c r="DG607" s="84"/>
      <c r="DK607" s="84"/>
      <c r="DO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5"/>
      <c r="AM608" s="84"/>
      <c r="AN608" s="84"/>
      <c r="AP608" s="84"/>
      <c r="AU608" s="84"/>
      <c r="AY608" s="86"/>
      <c r="BE608" s="84"/>
      <c r="BJ608" s="84"/>
      <c r="BO608" s="84"/>
      <c r="BT608" s="84"/>
      <c r="BY608" s="84"/>
      <c r="CC608" s="84"/>
      <c r="CG608" s="84"/>
      <c r="CK608" s="85"/>
      <c r="CL608" s="85"/>
      <c r="CM608" s="84"/>
      <c r="CO608" s="84"/>
      <c r="CT608" s="84"/>
      <c r="CY608" s="84"/>
      <c r="DC608" s="84"/>
      <c r="DG608" s="84"/>
      <c r="DK608" s="84"/>
      <c r="DO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5"/>
      <c r="AM609" s="84"/>
      <c r="AN609" s="84"/>
      <c r="AP609" s="84"/>
      <c r="AU609" s="84"/>
      <c r="AY609" s="86"/>
      <c r="BE609" s="84"/>
      <c r="BJ609" s="84"/>
      <c r="BO609" s="84"/>
      <c r="BT609" s="84"/>
      <c r="BY609" s="84"/>
      <c r="CC609" s="84"/>
      <c r="CG609" s="84"/>
      <c r="CK609" s="85"/>
      <c r="CL609" s="85"/>
      <c r="CM609" s="84"/>
      <c r="CO609" s="84"/>
      <c r="CT609" s="84"/>
      <c r="CY609" s="84"/>
      <c r="DC609" s="84"/>
      <c r="DG609" s="84"/>
      <c r="DK609" s="84"/>
      <c r="DO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5"/>
      <c r="AM610" s="84"/>
      <c r="AN610" s="84"/>
      <c r="AP610" s="84"/>
      <c r="AU610" s="84"/>
      <c r="AY610" s="86"/>
      <c r="BE610" s="84"/>
      <c r="BJ610" s="84"/>
      <c r="BO610" s="84"/>
      <c r="BT610" s="84"/>
      <c r="BY610" s="84"/>
      <c r="CC610" s="84"/>
      <c r="CG610" s="84"/>
      <c r="CK610" s="85"/>
      <c r="CL610" s="85"/>
      <c r="CM610" s="84"/>
      <c r="CO610" s="84"/>
      <c r="CT610" s="84"/>
      <c r="CY610" s="84"/>
      <c r="DC610" s="84"/>
      <c r="DG610" s="84"/>
      <c r="DK610" s="84"/>
      <c r="DO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5"/>
      <c r="AM611" s="84"/>
      <c r="AN611" s="84"/>
      <c r="AP611" s="84"/>
      <c r="AU611" s="84"/>
      <c r="AY611" s="86"/>
      <c r="BE611" s="84"/>
      <c r="BJ611" s="84"/>
      <c r="BO611" s="84"/>
      <c r="BT611" s="84"/>
      <c r="BY611" s="84"/>
      <c r="CC611" s="84"/>
      <c r="CG611" s="84"/>
      <c r="CK611" s="85"/>
      <c r="CL611" s="85"/>
      <c r="CM611" s="84"/>
      <c r="CO611" s="84"/>
      <c r="CT611" s="84"/>
      <c r="CY611" s="84"/>
      <c r="DC611" s="84"/>
      <c r="DG611" s="84"/>
      <c r="DK611" s="84"/>
      <c r="DO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5"/>
      <c r="AM612" s="84"/>
      <c r="AN612" s="84"/>
      <c r="AP612" s="84"/>
      <c r="AU612" s="84"/>
      <c r="AY612" s="86"/>
      <c r="BE612" s="84"/>
      <c r="BJ612" s="84"/>
      <c r="BO612" s="84"/>
      <c r="BT612" s="84"/>
      <c r="BY612" s="84"/>
      <c r="CC612" s="84"/>
      <c r="CG612" s="84"/>
      <c r="CK612" s="85"/>
      <c r="CL612" s="85"/>
      <c r="CM612" s="84"/>
      <c r="CO612" s="84"/>
      <c r="CT612" s="84"/>
      <c r="CY612" s="84"/>
      <c r="DC612" s="84"/>
      <c r="DG612" s="84"/>
      <c r="DK612" s="84"/>
      <c r="DO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5"/>
      <c r="AM613" s="84"/>
      <c r="AN613" s="84"/>
      <c r="AP613" s="84"/>
      <c r="AU613" s="84"/>
      <c r="AY613" s="86"/>
      <c r="BE613" s="84"/>
      <c r="BJ613" s="84"/>
      <c r="BO613" s="84"/>
      <c r="BT613" s="84"/>
      <c r="BY613" s="84"/>
      <c r="CC613" s="84"/>
      <c r="CG613" s="84"/>
      <c r="CK613" s="85"/>
      <c r="CL613" s="85"/>
      <c r="CM613" s="84"/>
      <c r="CO613" s="84"/>
      <c r="CT613" s="84"/>
      <c r="CY613" s="84"/>
      <c r="DC613" s="84"/>
      <c r="DG613" s="84"/>
      <c r="DK613" s="84"/>
      <c r="DO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5"/>
      <c r="AM614" s="84"/>
      <c r="AN614" s="84"/>
      <c r="AP614" s="84"/>
      <c r="AU614" s="84"/>
      <c r="AY614" s="86"/>
      <c r="BE614" s="84"/>
      <c r="BJ614" s="84"/>
      <c r="BO614" s="84"/>
      <c r="BT614" s="84"/>
      <c r="BY614" s="84"/>
      <c r="CC614" s="84"/>
      <c r="CG614" s="84"/>
      <c r="CK614" s="85"/>
      <c r="CL614" s="85"/>
      <c r="CM614" s="84"/>
      <c r="CO614" s="84"/>
      <c r="CT614" s="84"/>
      <c r="CY614" s="84"/>
      <c r="DC614" s="84"/>
      <c r="DG614" s="84"/>
      <c r="DK614" s="84"/>
      <c r="DO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5"/>
      <c r="AM615" s="84"/>
      <c r="AN615" s="84"/>
      <c r="AP615" s="84"/>
      <c r="AU615" s="84"/>
      <c r="AY615" s="86"/>
      <c r="BE615" s="84"/>
      <c r="BJ615" s="84"/>
      <c r="BO615" s="84"/>
      <c r="BT615" s="84"/>
      <c r="BY615" s="84"/>
      <c r="CC615" s="84"/>
      <c r="CG615" s="84"/>
      <c r="CK615" s="85"/>
      <c r="CL615" s="85"/>
      <c r="CM615" s="84"/>
      <c r="CO615" s="84"/>
      <c r="CT615" s="84"/>
      <c r="CY615" s="84"/>
      <c r="DC615" s="84"/>
      <c r="DG615" s="84"/>
      <c r="DK615" s="84"/>
      <c r="DO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5"/>
      <c r="AM616" s="84"/>
      <c r="AN616" s="84"/>
      <c r="AP616" s="84"/>
      <c r="AU616" s="84"/>
      <c r="AY616" s="86"/>
      <c r="BE616" s="84"/>
      <c r="BJ616" s="84"/>
      <c r="BO616" s="84"/>
      <c r="BT616" s="84"/>
      <c r="BY616" s="84"/>
      <c r="CC616" s="84"/>
      <c r="CG616" s="84"/>
      <c r="CK616" s="85"/>
      <c r="CL616" s="85"/>
      <c r="CM616" s="84"/>
      <c r="CO616" s="84"/>
      <c r="CT616" s="84"/>
      <c r="CY616" s="84"/>
      <c r="DC616" s="84"/>
      <c r="DG616" s="84"/>
      <c r="DK616" s="84"/>
      <c r="DO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5"/>
      <c r="AM617" s="84"/>
      <c r="AN617" s="84"/>
      <c r="AP617" s="84"/>
      <c r="AU617" s="84"/>
      <c r="AY617" s="86"/>
      <c r="BE617" s="84"/>
      <c r="BJ617" s="84"/>
      <c r="BO617" s="84"/>
      <c r="BT617" s="84"/>
      <c r="BY617" s="84"/>
      <c r="CC617" s="84"/>
      <c r="CG617" s="84"/>
      <c r="CK617" s="85"/>
      <c r="CL617" s="85"/>
      <c r="CM617" s="84"/>
      <c r="CO617" s="84"/>
      <c r="CT617" s="84"/>
      <c r="CY617" s="84"/>
      <c r="DC617" s="84"/>
      <c r="DG617" s="84"/>
      <c r="DK617" s="84"/>
      <c r="DO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5"/>
      <c r="AM618" s="84"/>
      <c r="AN618" s="84"/>
      <c r="AP618" s="84"/>
      <c r="AU618" s="84"/>
      <c r="AY618" s="86"/>
      <c r="BE618" s="84"/>
      <c r="BJ618" s="84"/>
      <c r="BO618" s="84"/>
      <c r="BT618" s="84"/>
      <c r="BY618" s="84"/>
      <c r="CC618" s="84"/>
      <c r="CG618" s="84"/>
      <c r="CK618" s="85"/>
      <c r="CL618" s="85"/>
      <c r="CM618" s="84"/>
      <c r="CO618" s="84"/>
      <c r="CT618" s="84"/>
      <c r="CY618" s="84"/>
      <c r="DC618" s="84"/>
      <c r="DG618" s="84"/>
      <c r="DK618" s="84"/>
      <c r="DO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5"/>
      <c r="AM619" s="84"/>
      <c r="AN619" s="84"/>
      <c r="AP619" s="84"/>
      <c r="AU619" s="84"/>
      <c r="AY619" s="86"/>
      <c r="BE619" s="84"/>
      <c r="BJ619" s="84"/>
      <c r="BO619" s="84"/>
      <c r="BT619" s="84"/>
      <c r="BY619" s="84"/>
      <c r="CC619" s="84"/>
      <c r="CG619" s="84"/>
      <c r="CK619" s="85"/>
      <c r="CL619" s="85"/>
      <c r="CM619" s="84"/>
      <c r="CO619" s="84"/>
      <c r="CT619" s="84"/>
      <c r="CY619" s="84"/>
      <c r="DC619" s="84"/>
      <c r="DG619" s="84"/>
      <c r="DK619" s="84"/>
      <c r="DO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5"/>
      <c r="AM620" s="84"/>
      <c r="AN620" s="84"/>
      <c r="AP620" s="84"/>
      <c r="AU620" s="84"/>
      <c r="AY620" s="86"/>
      <c r="BE620" s="84"/>
      <c r="BJ620" s="84"/>
      <c r="BO620" s="84"/>
      <c r="BT620" s="84"/>
      <c r="BY620" s="84"/>
      <c r="CC620" s="84"/>
      <c r="CG620" s="84"/>
      <c r="CK620" s="85"/>
      <c r="CL620" s="85"/>
      <c r="CM620" s="84"/>
      <c r="CO620" s="84"/>
      <c r="CT620" s="84"/>
      <c r="CY620" s="84"/>
      <c r="DC620" s="84"/>
      <c r="DG620" s="84"/>
      <c r="DK620" s="84"/>
      <c r="DO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5"/>
      <c r="AM621" s="84"/>
      <c r="AN621" s="84"/>
      <c r="AP621" s="84"/>
      <c r="AU621" s="84"/>
      <c r="AY621" s="86"/>
      <c r="BE621" s="84"/>
      <c r="BJ621" s="84"/>
      <c r="BO621" s="84"/>
      <c r="BT621" s="84"/>
      <c r="BY621" s="84"/>
      <c r="CC621" s="84"/>
      <c r="CG621" s="84"/>
      <c r="CK621" s="85"/>
      <c r="CL621" s="85"/>
      <c r="CM621" s="84"/>
      <c r="CO621" s="84"/>
      <c r="CT621" s="84"/>
      <c r="CY621" s="84"/>
      <c r="DC621" s="84"/>
      <c r="DG621" s="84"/>
      <c r="DK621" s="84"/>
      <c r="DO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5"/>
      <c r="AM622" s="84"/>
      <c r="AN622" s="84"/>
      <c r="AP622" s="84"/>
      <c r="AU622" s="84"/>
      <c r="AY622" s="86"/>
      <c r="BE622" s="84"/>
      <c r="BJ622" s="84"/>
      <c r="BO622" s="84"/>
      <c r="BT622" s="84"/>
      <c r="BY622" s="84"/>
      <c r="CC622" s="84"/>
      <c r="CG622" s="84"/>
      <c r="CK622" s="85"/>
      <c r="CL622" s="85"/>
      <c r="CM622" s="84"/>
      <c r="CO622" s="84"/>
      <c r="CT622" s="84"/>
      <c r="CY622" s="84"/>
      <c r="DC622" s="84"/>
      <c r="DG622" s="84"/>
      <c r="DK622" s="84"/>
      <c r="DO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5"/>
      <c r="AM623" s="84"/>
      <c r="AN623" s="84"/>
      <c r="AP623" s="84"/>
      <c r="AU623" s="84"/>
      <c r="AY623" s="86"/>
      <c r="BE623" s="84"/>
      <c r="BJ623" s="84"/>
      <c r="BO623" s="84"/>
      <c r="BT623" s="84"/>
      <c r="BY623" s="84"/>
      <c r="CC623" s="84"/>
      <c r="CG623" s="84"/>
      <c r="CK623" s="85"/>
      <c r="CL623" s="85"/>
      <c r="CM623" s="84"/>
      <c r="CO623" s="84"/>
      <c r="CT623" s="84"/>
      <c r="CY623" s="84"/>
      <c r="DC623" s="84"/>
      <c r="DG623" s="84"/>
      <c r="DK623" s="84"/>
      <c r="DO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5"/>
      <c r="AM624" s="84"/>
      <c r="AN624" s="84"/>
      <c r="AP624" s="84"/>
      <c r="AU624" s="84"/>
      <c r="AY624" s="86"/>
      <c r="BE624" s="84"/>
      <c r="BJ624" s="84"/>
      <c r="BO624" s="84"/>
      <c r="BT624" s="84"/>
      <c r="BY624" s="84"/>
      <c r="CC624" s="84"/>
      <c r="CG624" s="84"/>
      <c r="CK624" s="85"/>
      <c r="CL624" s="85"/>
      <c r="CM624" s="84"/>
      <c r="CO624" s="84"/>
      <c r="CT624" s="84"/>
      <c r="CY624" s="84"/>
      <c r="DC624" s="84"/>
      <c r="DG624" s="84"/>
      <c r="DK624" s="84"/>
      <c r="DO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5"/>
      <c r="AM625" s="84"/>
      <c r="AN625" s="84"/>
      <c r="AP625" s="84"/>
      <c r="AU625" s="84"/>
      <c r="AY625" s="86"/>
      <c r="BE625" s="84"/>
      <c r="BJ625" s="84"/>
      <c r="BO625" s="84"/>
      <c r="BT625" s="84"/>
      <c r="BY625" s="84"/>
      <c r="CC625" s="84"/>
      <c r="CG625" s="84"/>
      <c r="CK625" s="85"/>
      <c r="CL625" s="85"/>
      <c r="CM625" s="84"/>
      <c r="CO625" s="84"/>
      <c r="CT625" s="84"/>
      <c r="CY625" s="84"/>
      <c r="DC625" s="84"/>
      <c r="DG625" s="84"/>
      <c r="DK625" s="84"/>
      <c r="DO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5"/>
      <c r="AM626" s="84"/>
      <c r="AN626" s="84"/>
      <c r="AP626" s="84"/>
      <c r="AU626" s="84"/>
      <c r="AY626" s="86"/>
      <c r="BE626" s="84"/>
      <c r="BJ626" s="84"/>
      <c r="BO626" s="84"/>
      <c r="BT626" s="84"/>
      <c r="BY626" s="84"/>
      <c r="CC626" s="84"/>
      <c r="CG626" s="84"/>
      <c r="CK626" s="85"/>
      <c r="CL626" s="85"/>
      <c r="CM626" s="84"/>
      <c r="CO626" s="84"/>
      <c r="CT626" s="84"/>
      <c r="CY626" s="84"/>
      <c r="DC626" s="84"/>
      <c r="DG626" s="84"/>
      <c r="DK626" s="84"/>
      <c r="DO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5"/>
      <c r="AM627" s="84"/>
      <c r="AN627" s="84"/>
      <c r="AP627" s="84"/>
      <c r="AU627" s="84"/>
      <c r="AY627" s="86"/>
      <c r="BE627" s="84"/>
      <c r="BJ627" s="84"/>
      <c r="BO627" s="84"/>
      <c r="BT627" s="84"/>
      <c r="BY627" s="84"/>
      <c r="CC627" s="84"/>
      <c r="CG627" s="84"/>
      <c r="CK627" s="85"/>
      <c r="CL627" s="85"/>
      <c r="CM627" s="84"/>
      <c r="CO627" s="84"/>
      <c r="CT627" s="84"/>
      <c r="CY627" s="84"/>
      <c r="DC627" s="84"/>
      <c r="DG627" s="84"/>
      <c r="DK627" s="84"/>
      <c r="DO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5"/>
      <c r="AM628" s="84"/>
      <c r="AN628" s="84"/>
      <c r="AP628" s="84"/>
      <c r="AU628" s="84"/>
      <c r="AY628" s="86"/>
      <c r="BE628" s="84"/>
      <c r="BJ628" s="84"/>
      <c r="BO628" s="84"/>
      <c r="BT628" s="84"/>
      <c r="BY628" s="84"/>
      <c r="CC628" s="84"/>
      <c r="CG628" s="84"/>
      <c r="CK628" s="85"/>
      <c r="CL628" s="85"/>
      <c r="CM628" s="84"/>
      <c r="CO628" s="84"/>
      <c r="CT628" s="84"/>
      <c r="CY628" s="84"/>
      <c r="DC628" s="84"/>
      <c r="DG628" s="84"/>
      <c r="DK628" s="84"/>
      <c r="DO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5"/>
      <c r="AM629" s="84"/>
      <c r="AN629" s="84"/>
      <c r="AP629" s="84"/>
      <c r="AU629" s="84"/>
      <c r="AY629" s="86"/>
      <c r="BE629" s="84"/>
      <c r="BJ629" s="84"/>
      <c r="BO629" s="84"/>
      <c r="BT629" s="84"/>
      <c r="BY629" s="84"/>
      <c r="CC629" s="84"/>
      <c r="CG629" s="84"/>
      <c r="CK629" s="85"/>
      <c r="CL629" s="85"/>
      <c r="CM629" s="84"/>
      <c r="CO629" s="84"/>
      <c r="CT629" s="84"/>
      <c r="CY629" s="84"/>
      <c r="DC629" s="84"/>
      <c r="DG629" s="84"/>
      <c r="DK629" s="84"/>
      <c r="DO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5"/>
      <c r="AM630" s="84"/>
      <c r="AN630" s="84"/>
      <c r="AP630" s="84"/>
      <c r="AU630" s="84"/>
      <c r="AY630" s="86"/>
      <c r="BE630" s="84"/>
      <c r="BJ630" s="84"/>
      <c r="BO630" s="84"/>
      <c r="BT630" s="84"/>
      <c r="BY630" s="84"/>
      <c r="CC630" s="84"/>
      <c r="CG630" s="84"/>
      <c r="CK630" s="85"/>
      <c r="CL630" s="85"/>
      <c r="CM630" s="84"/>
      <c r="CO630" s="84"/>
      <c r="CT630" s="84"/>
      <c r="CY630" s="84"/>
      <c r="DC630" s="84"/>
      <c r="DG630" s="84"/>
      <c r="DK630" s="84"/>
      <c r="DO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5"/>
      <c r="AM631" s="84"/>
      <c r="AN631" s="84"/>
      <c r="AP631" s="84"/>
      <c r="AU631" s="84"/>
      <c r="AY631" s="86"/>
      <c r="BE631" s="84"/>
      <c r="BJ631" s="84"/>
      <c r="BO631" s="84"/>
      <c r="BT631" s="84"/>
      <c r="BY631" s="84"/>
      <c r="CC631" s="84"/>
      <c r="CG631" s="84"/>
      <c r="CK631" s="85"/>
      <c r="CL631" s="85"/>
      <c r="CM631" s="84"/>
      <c r="CO631" s="84"/>
      <c r="CT631" s="84"/>
      <c r="CY631" s="84"/>
      <c r="DC631" s="84"/>
      <c r="DG631" s="84"/>
      <c r="DK631" s="84"/>
      <c r="DO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5"/>
      <c r="AM632" s="84"/>
      <c r="AN632" s="84"/>
      <c r="AP632" s="84"/>
      <c r="AU632" s="84"/>
      <c r="AY632" s="86"/>
      <c r="BE632" s="84"/>
      <c r="BJ632" s="84"/>
      <c r="BO632" s="84"/>
      <c r="BT632" s="84"/>
      <c r="BY632" s="84"/>
      <c r="CC632" s="84"/>
      <c r="CG632" s="84"/>
      <c r="CK632" s="85"/>
      <c r="CL632" s="85"/>
      <c r="CM632" s="84"/>
      <c r="CO632" s="84"/>
      <c r="CT632" s="84"/>
      <c r="CY632" s="84"/>
      <c r="DC632" s="84"/>
      <c r="DG632" s="84"/>
      <c r="DK632" s="84"/>
      <c r="DO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5"/>
      <c r="AM633" s="84"/>
      <c r="AN633" s="84"/>
      <c r="AP633" s="84"/>
      <c r="AU633" s="84"/>
      <c r="AY633" s="86"/>
      <c r="BE633" s="84"/>
      <c r="BJ633" s="84"/>
      <c r="BO633" s="84"/>
      <c r="BT633" s="84"/>
      <c r="BY633" s="84"/>
      <c r="CC633" s="84"/>
      <c r="CG633" s="84"/>
      <c r="CK633" s="85"/>
      <c r="CL633" s="85"/>
      <c r="CM633" s="84"/>
      <c r="CO633" s="84"/>
      <c r="CT633" s="84"/>
      <c r="CY633" s="84"/>
      <c r="DC633" s="84"/>
      <c r="DG633" s="84"/>
      <c r="DK633" s="84"/>
      <c r="DO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5"/>
      <c r="AM634" s="84"/>
      <c r="AN634" s="84"/>
      <c r="AP634" s="84"/>
      <c r="AU634" s="84"/>
      <c r="AY634" s="86"/>
      <c r="BE634" s="84"/>
      <c r="BJ634" s="84"/>
      <c r="BO634" s="84"/>
      <c r="BT634" s="84"/>
      <c r="BY634" s="84"/>
      <c r="CC634" s="84"/>
      <c r="CG634" s="84"/>
      <c r="CK634" s="85"/>
      <c r="CL634" s="85"/>
      <c r="CM634" s="84"/>
      <c r="CO634" s="84"/>
      <c r="CT634" s="84"/>
      <c r="CY634" s="84"/>
      <c r="DC634" s="84"/>
      <c r="DG634" s="84"/>
      <c r="DK634" s="84"/>
      <c r="DO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5"/>
      <c r="AM635" s="84"/>
      <c r="AN635" s="84"/>
      <c r="AP635" s="84"/>
      <c r="AU635" s="84"/>
      <c r="AY635" s="86"/>
      <c r="BE635" s="84"/>
      <c r="BJ635" s="84"/>
      <c r="BO635" s="84"/>
      <c r="BT635" s="84"/>
      <c r="BY635" s="84"/>
      <c r="CC635" s="84"/>
      <c r="CG635" s="84"/>
      <c r="CK635" s="85"/>
      <c r="CL635" s="85"/>
      <c r="CM635" s="84"/>
      <c r="CO635" s="84"/>
      <c r="CT635" s="84"/>
      <c r="CY635" s="84"/>
      <c r="DC635" s="84"/>
      <c r="DG635" s="84"/>
      <c r="DK635" s="84"/>
      <c r="DO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5"/>
      <c r="AM636" s="84"/>
      <c r="AN636" s="84"/>
      <c r="AP636" s="84"/>
      <c r="AU636" s="84"/>
      <c r="AY636" s="86"/>
      <c r="BE636" s="84"/>
      <c r="BJ636" s="84"/>
      <c r="BO636" s="84"/>
      <c r="BT636" s="84"/>
      <c r="BY636" s="84"/>
      <c r="CC636" s="84"/>
      <c r="CG636" s="84"/>
      <c r="CK636" s="85"/>
      <c r="CL636" s="85"/>
      <c r="CM636" s="84"/>
      <c r="CO636" s="84"/>
      <c r="CT636" s="84"/>
      <c r="CY636" s="84"/>
      <c r="DC636" s="84"/>
      <c r="DG636" s="84"/>
      <c r="DK636" s="84"/>
      <c r="DO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5"/>
      <c r="AM637" s="84"/>
      <c r="AN637" s="84"/>
      <c r="AP637" s="84"/>
      <c r="AU637" s="84"/>
      <c r="AY637" s="86"/>
      <c r="BE637" s="84"/>
      <c r="BJ637" s="84"/>
      <c r="BO637" s="84"/>
      <c r="BT637" s="84"/>
      <c r="BY637" s="84"/>
      <c r="CC637" s="84"/>
      <c r="CG637" s="84"/>
      <c r="CK637" s="85"/>
      <c r="CL637" s="85"/>
      <c r="CM637" s="84"/>
      <c r="CO637" s="84"/>
      <c r="CT637" s="84"/>
      <c r="CY637" s="84"/>
      <c r="DC637" s="84"/>
      <c r="DG637" s="84"/>
      <c r="DK637" s="84"/>
      <c r="DO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5"/>
      <c r="AM638" s="84"/>
      <c r="AN638" s="84"/>
      <c r="AP638" s="84"/>
      <c r="AU638" s="84"/>
      <c r="AY638" s="86"/>
      <c r="BE638" s="84"/>
      <c r="BJ638" s="84"/>
      <c r="BO638" s="84"/>
      <c r="BT638" s="84"/>
      <c r="BY638" s="84"/>
      <c r="CC638" s="84"/>
      <c r="CG638" s="84"/>
      <c r="CK638" s="85"/>
      <c r="CL638" s="85"/>
      <c r="CM638" s="84"/>
      <c r="CO638" s="84"/>
      <c r="CT638" s="84"/>
      <c r="CY638" s="84"/>
      <c r="DC638" s="84"/>
      <c r="DG638" s="84"/>
      <c r="DK638" s="84"/>
      <c r="DO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5"/>
      <c r="AM639" s="84"/>
      <c r="AN639" s="84"/>
      <c r="AP639" s="84"/>
      <c r="AU639" s="84"/>
      <c r="AY639" s="86"/>
      <c r="BE639" s="84"/>
      <c r="BJ639" s="84"/>
      <c r="BO639" s="84"/>
      <c r="BT639" s="84"/>
      <c r="BY639" s="84"/>
      <c r="CC639" s="84"/>
      <c r="CG639" s="84"/>
      <c r="CK639" s="85"/>
      <c r="CL639" s="85"/>
      <c r="CM639" s="84"/>
      <c r="CO639" s="84"/>
      <c r="CT639" s="84"/>
      <c r="CY639" s="84"/>
      <c r="DC639" s="84"/>
      <c r="DG639" s="84"/>
      <c r="DK639" s="84"/>
      <c r="DO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5"/>
      <c r="AM640" s="84"/>
      <c r="AN640" s="84"/>
      <c r="AP640" s="84"/>
      <c r="AU640" s="84"/>
      <c r="AY640" s="86"/>
      <c r="BE640" s="84"/>
      <c r="BJ640" s="84"/>
      <c r="BO640" s="84"/>
      <c r="BT640" s="84"/>
      <c r="BY640" s="84"/>
      <c r="CC640" s="84"/>
      <c r="CG640" s="84"/>
      <c r="CK640" s="85"/>
      <c r="CL640" s="85"/>
      <c r="CM640" s="84"/>
      <c r="CO640" s="84"/>
      <c r="CT640" s="84"/>
      <c r="CY640" s="84"/>
      <c r="DC640" s="84"/>
      <c r="DG640" s="84"/>
      <c r="DK640" s="84"/>
      <c r="DO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5"/>
      <c r="AM641" s="84"/>
      <c r="AN641" s="84"/>
      <c r="AP641" s="84"/>
      <c r="AU641" s="84"/>
      <c r="AY641" s="86"/>
      <c r="BE641" s="84"/>
      <c r="BJ641" s="84"/>
      <c r="BO641" s="84"/>
      <c r="BT641" s="84"/>
      <c r="BY641" s="84"/>
      <c r="CC641" s="84"/>
      <c r="CG641" s="84"/>
      <c r="CK641" s="85"/>
      <c r="CL641" s="85"/>
      <c r="CM641" s="84"/>
      <c r="CO641" s="84"/>
      <c r="CT641" s="84"/>
      <c r="CY641" s="84"/>
      <c r="DC641" s="84"/>
      <c r="DG641" s="84"/>
      <c r="DK641" s="84"/>
      <c r="DO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5"/>
      <c r="AM642" s="84"/>
      <c r="AN642" s="84"/>
      <c r="AP642" s="84"/>
      <c r="AU642" s="84"/>
      <c r="AY642" s="86"/>
      <c r="BE642" s="84"/>
      <c r="BJ642" s="84"/>
      <c r="BO642" s="84"/>
      <c r="BT642" s="84"/>
      <c r="BY642" s="84"/>
      <c r="CC642" s="84"/>
      <c r="CG642" s="84"/>
      <c r="CK642" s="85"/>
      <c r="CL642" s="85"/>
      <c r="CM642" s="84"/>
      <c r="CO642" s="84"/>
      <c r="CT642" s="84"/>
      <c r="CY642" s="84"/>
      <c r="DC642" s="84"/>
      <c r="DG642" s="84"/>
      <c r="DK642" s="84"/>
      <c r="DO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5"/>
      <c r="AM643" s="84"/>
      <c r="AN643" s="84"/>
      <c r="AP643" s="84"/>
      <c r="AU643" s="84"/>
      <c r="AY643" s="86"/>
      <c r="BE643" s="84"/>
      <c r="BJ643" s="84"/>
      <c r="BO643" s="84"/>
      <c r="BT643" s="84"/>
      <c r="BY643" s="84"/>
      <c r="CC643" s="84"/>
      <c r="CG643" s="84"/>
      <c r="CK643" s="85"/>
      <c r="CL643" s="85"/>
      <c r="CM643" s="84"/>
      <c r="CO643" s="84"/>
      <c r="CT643" s="84"/>
      <c r="CY643" s="84"/>
      <c r="DC643" s="84"/>
      <c r="DG643" s="84"/>
      <c r="DK643" s="84"/>
      <c r="DO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5"/>
      <c r="AM644" s="84"/>
      <c r="AN644" s="84"/>
      <c r="AP644" s="84"/>
      <c r="AU644" s="84"/>
      <c r="AY644" s="86"/>
      <c r="BE644" s="84"/>
      <c r="BJ644" s="84"/>
      <c r="BO644" s="84"/>
      <c r="BT644" s="84"/>
      <c r="BY644" s="84"/>
      <c r="CC644" s="84"/>
      <c r="CG644" s="84"/>
      <c r="CK644" s="85"/>
      <c r="CL644" s="85"/>
      <c r="CM644" s="84"/>
      <c r="CO644" s="84"/>
      <c r="CT644" s="84"/>
      <c r="CY644" s="84"/>
      <c r="DC644" s="84"/>
      <c r="DG644" s="84"/>
      <c r="DK644" s="84"/>
      <c r="DO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5"/>
      <c r="AM645" s="84"/>
      <c r="AN645" s="84"/>
      <c r="AP645" s="84"/>
      <c r="AU645" s="84"/>
      <c r="AY645" s="86"/>
      <c r="BE645" s="84"/>
      <c r="BJ645" s="84"/>
      <c r="BO645" s="84"/>
      <c r="BT645" s="84"/>
      <c r="BY645" s="84"/>
      <c r="CC645" s="84"/>
      <c r="CG645" s="84"/>
      <c r="CK645" s="85"/>
      <c r="CL645" s="85"/>
      <c r="CM645" s="84"/>
      <c r="CO645" s="84"/>
      <c r="CT645" s="84"/>
      <c r="CY645" s="84"/>
      <c r="DC645" s="84"/>
      <c r="DG645" s="84"/>
      <c r="DK645" s="84"/>
      <c r="DO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5"/>
      <c r="AM646" s="84"/>
      <c r="AN646" s="84"/>
      <c r="AP646" s="84"/>
      <c r="AU646" s="84"/>
      <c r="AY646" s="86"/>
      <c r="BE646" s="84"/>
      <c r="BJ646" s="84"/>
      <c r="BO646" s="84"/>
      <c r="BT646" s="84"/>
      <c r="BY646" s="84"/>
      <c r="CC646" s="84"/>
      <c r="CG646" s="84"/>
      <c r="CK646" s="85"/>
      <c r="CL646" s="85"/>
      <c r="CM646" s="84"/>
      <c r="CO646" s="84"/>
      <c r="CT646" s="84"/>
      <c r="CY646" s="84"/>
      <c r="DC646" s="84"/>
      <c r="DG646" s="84"/>
      <c r="DK646" s="84"/>
      <c r="DO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5"/>
      <c r="AM647" s="84"/>
      <c r="AN647" s="84"/>
      <c r="AP647" s="84"/>
      <c r="AU647" s="84"/>
      <c r="AY647" s="86"/>
      <c r="BE647" s="84"/>
      <c r="BJ647" s="84"/>
      <c r="BO647" s="84"/>
      <c r="BT647" s="84"/>
      <c r="BY647" s="84"/>
      <c r="CC647" s="84"/>
      <c r="CG647" s="84"/>
      <c r="CK647" s="85"/>
      <c r="CL647" s="85"/>
      <c r="CM647" s="84"/>
      <c r="CO647" s="84"/>
      <c r="CT647" s="84"/>
      <c r="CY647" s="84"/>
      <c r="DC647" s="84"/>
      <c r="DG647" s="84"/>
      <c r="DK647" s="84"/>
      <c r="DO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5"/>
      <c r="AM648" s="84"/>
      <c r="AN648" s="84"/>
      <c r="AP648" s="84"/>
      <c r="AU648" s="84"/>
      <c r="AY648" s="86"/>
      <c r="BE648" s="84"/>
      <c r="BJ648" s="84"/>
      <c r="BO648" s="84"/>
      <c r="BT648" s="84"/>
      <c r="BY648" s="84"/>
      <c r="CC648" s="84"/>
      <c r="CG648" s="84"/>
      <c r="CK648" s="85"/>
      <c r="CL648" s="85"/>
      <c r="CM648" s="84"/>
      <c r="CO648" s="84"/>
      <c r="CT648" s="84"/>
      <c r="CY648" s="84"/>
      <c r="DC648" s="84"/>
      <c r="DG648" s="84"/>
      <c r="DK648" s="84"/>
      <c r="DO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5"/>
      <c r="AM649" s="84"/>
      <c r="AN649" s="84"/>
      <c r="AP649" s="84"/>
      <c r="AU649" s="84"/>
      <c r="AY649" s="86"/>
      <c r="BE649" s="84"/>
      <c r="BJ649" s="84"/>
      <c r="BO649" s="84"/>
      <c r="BT649" s="84"/>
      <c r="BY649" s="84"/>
      <c r="CC649" s="84"/>
      <c r="CG649" s="84"/>
      <c r="CK649" s="85"/>
      <c r="CL649" s="85"/>
      <c r="CM649" s="84"/>
      <c r="CO649" s="84"/>
      <c r="CT649" s="84"/>
      <c r="CY649" s="84"/>
      <c r="DC649" s="84"/>
      <c r="DG649" s="84"/>
      <c r="DK649" s="84"/>
      <c r="DO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5"/>
      <c r="AM650" s="84"/>
      <c r="AN650" s="84"/>
      <c r="AP650" s="84"/>
      <c r="AU650" s="84"/>
      <c r="AY650" s="86"/>
      <c r="BE650" s="84"/>
      <c r="BJ650" s="84"/>
      <c r="BO650" s="84"/>
      <c r="BT650" s="84"/>
      <c r="BY650" s="84"/>
      <c r="CC650" s="84"/>
      <c r="CG650" s="84"/>
      <c r="CK650" s="85"/>
      <c r="CL650" s="85"/>
      <c r="CM650" s="84"/>
      <c r="CO650" s="84"/>
      <c r="CT650" s="84"/>
      <c r="CY650" s="84"/>
      <c r="DC650" s="84"/>
      <c r="DG650" s="84"/>
      <c r="DK650" s="84"/>
      <c r="DO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5"/>
      <c r="AM651" s="84"/>
      <c r="AN651" s="84"/>
      <c r="AP651" s="84"/>
      <c r="AU651" s="84"/>
      <c r="AY651" s="86"/>
      <c r="BE651" s="84"/>
      <c r="BJ651" s="84"/>
      <c r="BO651" s="84"/>
      <c r="BT651" s="84"/>
      <c r="BY651" s="84"/>
      <c r="CC651" s="84"/>
      <c r="CG651" s="84"/>
      <c r="CK651" s="85"/>
      <c r="CL651" s="85"/>
      <c r="CM651" s="84"/>
      <c r="CO651" s="84"/>
      <c r="CT651" s="84"/>
      <c r="CY651" s="84"/>
      <c r="DC651" s="84"/>
      <c r="DG651" s="84"/>
      <c r="DK651" s="84"/>
      <c r="DO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5"/>
      <c r="AM652" s="84"/>
      <c r="AN652" s="84"/>
      <c r="AP652" s="84"/>
      <c r="AU652" s="84"/>
      <c r="AY652" s="86"/>
      <c r="BE652" s="84"/>
      <c r="BJ652" s="84"/>
      <c r="BO652" s="84"/>
      <c r="BT652" s="84"/>
      <c r="BY652" s="84"/>
      <c r="CC652" s="84"/>
      <c r="CG652" s="84"/>
      <c r="CK652" s="85"/>
      <c r="CL652" s="85"/>
      <c r="CM652" s="84"/>
      <c r="CO652" s="84"/>
      <c r="CT652" s="84"/>
      <c r="CY652" s="84"/>
      <c r="DC652" s="84"/>
      <c r="DG652" s="84"/>
      <c r="DK652" s="84"/>
      <c r="DO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5"/>
      <c r="AM653" s="84"/>
      <c r="AN653" s="84"/>
      <c r="AP653" s="84"/>
      <c r="AU653" s="84"/>
      <c r="AY653" s="86"/>
      <c r="BE653" s="84"/>
      <c r="BJ653" s="84"/>
      <c r="BO653" s="84"/>
      <c r="BT653" s="84"/>
      <c r="BY653" s="84"/>
      <c r="CC653" s="84"/>
      <c r="CG653" s="84"/>
      <c r="CK653" s="85"/>
      <c r="CL653" s="85"/>
      <c r="CM653" s="84"/>
      <c r="CO653" s="84"/>
      <c r="CT653" s="84"/>
      <c r="CY653" s="84"/>
      <c r="DC653" s="84"/>
      <c r="DG653" s="84"/>
      <c r="DK653" s="84"/>
      <c r="DO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5"/>
      <c r="AM654" s="84"/>
      <c r="AN654" s="84"/>
      <c r="AP654" s="84"/>
      <c r="AU654" s="84"/>
      <c r="AY654" s="86"/>
      <c r="BE654" s="84"/>
      <c r="BJ654" s="84"/>
      <c r="BO654" s="84"/>
      <c r="BT654" s="84"/>
      <c r="BY654" s="84"/>
      <c r="CC654" s="84"/>
      <c r="CG654" s="84"/>
      <c r="CK654" s="85"/>
      <c r="CL654" s="85"/>
      <c r="CM654" s="84"/>
      <c r="CO654" s="84"/>
      <c r="CT654" s="84"/>
      <c r="CY654" s="84"/>
      <c r="DC654" s="84"/>
      <c r="DG654" s="84"/>
      <c r="DK654" s="84"/>
      <c r="DO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5"/>
      <c r="AM655" s="84"/>
      <c r="AN655" s="84"/>
      <c r="AP655" s="84"/>
      <c r="AU655" s="84"/>
      <c r="AY655" s="86"/>
      <c r="BE655" s="84"/>
      <c r="BJ655" s="84"/>
      <c r="BO655" s="84"/>
      <c r="BT655" s="84"/>
      <c r="BY655" s="84"/>
      <c r="CC655" s="84"/>
      <c r="CG655" s="84"/>
      <c r="CK655" s="85"/>
      <c r="CL655" s="85"/>
      <c r="CM655" s="84"/>
      <c r="CO655" s="84"/>
      <c r="CT655" s="84"/>
      <c r="CY655" s="84"/>
      <c r="DC655" s="84"/>
      <c r="DG655" s="84"/>
      <c r="DK655" s="84"/>
      <c r="DO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5"/>
      <c r="AM656" s="84"/>
      <c r="AN656" s="84"/>
      <c r="AP656" s="84"/>
      <c r="AU656" s="84"/>
      <c r="AY656" s="86"/>
      <c r="BE656" s="84"/>
      <c r="BJ656" s="84"/>
      <c r="BO656" s="84"/>
      <c r="BT656" s="84"/>
      <c r="BY656" s="84"/>
      <c r="CC656" s="84"/>
      <c r="CG656" s="84"/>
      <c r="CK656" s="85"/>
      <c r="CL656" s="85"/>
      <c r="CM656" s="84"/>
      <c r="CO656" s="84"/>
      <c r="CT656" s="84"/>
      <c r="CY656" s="84"/>
      <c r="DC656" s="84"/>
      <c r="DG656" s="84"/>
      <c r="DK656" s="84"/>
      <c r="DO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5"/>
      <c r="AM657" s="84"/>
      <c r="AN657" s="84"/>
      <c r="AP657" s="84"/>
      <c r="AU657" s="84"/>
      <c r="AY657" s="86"/>
      <c r="BE657" s="84"/>
      <c r="BJ657" s="84"/>
      <c r="BO657" s="84"/>
      <c r="BT657" s="84"/>
      <c r="BY657" s="84"/>
      <c r="CC657" s="84"/>
      <c r="CG657" s="84"/>
      <c r="CK657" s="85"/>
      <c r="CL657" s="85"/>
      <c r="CM657" s="84"/>
      <c r="CO657" s="84"/>
      <c r="CT657" s="84"/>
      <c r="CY657" s="84"/>
      <c r="DC657" s="84"/>
      <c r="DG657" s="84"/>
      <c r="DK657" s="84"/>
      <c r="DO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5"/>
      <c r="AM658" s="84"/>
      <c r="AN658" s="84"/>
      <c r="AP658" s="84"/>
      <c r="AU658" s="84"/>
      <c r="AY658" s="86"/>
      <c r="BE658" s="84"/>
      <c r="BJ658" s="84"/>
      <c r="BO658" s="84"/>
      <c r="BT658" s="84"/>
      <c r="BY658" s="84"/>
      <c r="CC658" s="84"/>
      <c r="CG658" s="84"/>
      <c r="CK658" s="85"/>
      <c r="CL658" s="85"/>
      <c r="CM658" s="84"/>
      <c r="CO658" s="84"/>
      <c r="CT658" s="84"/>
      <c r="CY658" s="84"/>
      <c r="DC658" s="84"/>
      <c r="DG658" s="84"/>
      <c r="DK658" s="84"/>
      <c r="DO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5"/>
      <c r="AM659" s="84"/>
      <c r="AN659" s="84"/>
      <c r="AP659" s="84"/>
      <c r="AU659" s="84"/>
      <c r="AY659" s="86"/>
      <c r="BE659" s="84"/>
      <c r="BJ659" s="84"/>
      <c r="BO659" s="84"/>
      <c r="BT659" s="84"/>
      <c r="BY659" s="84"/>
      <c r="CC659" s="84"/>
      <c r="CG659" s="84"/>
      <c r="CK659" s="85"/>
      <c r="CL659" s="85"/>
      <c r="CM659" s="84"/>
      <c r="CO659" s="84"/>
      <c r="CT659" s="84"/>
      <c r="CY659" s="84"/>
      <c r="DC659" s="84"/>
      <c r="DG659" s="84"/>
      <c r="DK659" s="84"/>
      <c r="DO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5"/>
      <c r="AM660" s="84"/>
      <c r="AN660" s="84"/>
      <c r="AP660" s="84"/>
      <c r="AU660" s="84"/>
      <c r="AY660" s="86"/>
      <c r="BE660" s="84"/>
      <c r="BJ660" s="84"/>
      <c r="BO660" s="84"/>
      <c r="BT660" s="84"/>
      <c r="BY660" s="84"/>
      <c r="CC660" s="84"/>
      <c r="CG660" s="84"/>
      <c r="CK660" s="85"/>
      <c r="CL660" s="85"/>
      <c r="CM660" s="84"/>
      <c r="CO660" s="84"/>
      <c r="CT660" s="84"/>
      <c r="CY660" s="84"/>
      <c r="DC660" s="84"/>
      <c r="DG660" s="84"/>
      <c r="DK660" s="84"/>
      <c r="DO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5"/>
      <c r="AM661" s="84"/>
      <c r="AN661" s="84"/>
      <c r="AP661" s="84"/>
      <c r="AU661" s="84"/>
      <c r="AY661" s="86"/>
      <c r="BE661" s="84"/>
      <c r="BJ661" s="84"/>
      <c r="BO661" s="84"/>
      <c r="BT661" s="84"/>
      <c r="BY661" s="84"/>
      <c r="CC661" s="84"/>
      <c r="CG661" s="84"/>
      <c r="CK661" s="85"/>
      <c r="CL661" s="85"/>
      <c r="CM661" s="84"/>
      <c r="CO661" s="84"/>
      <c r="CT661" s="84"/>
      <c r="CY661" s="84"/>
      <c r="DC661" s="84"/>
      <c r="DG661" s="84"/>
      <c r="DK661" s="84"/>
      <c r="DO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5"/>
      <c r="AM662" s="84"/>
      <c r="AN662" s="84"/>
      <c r="AP662" s="84"/>
      <c r="AU662" s="84"/>
      <c r="AY662" s="86"/>
      <c r="BE662" s="84"/>
      <c r="BJ662" s="84"/>
      <c r="BO662" s="84"/>
      <c r="BT662" s="84"/>
      <c r="BY662" s="84"/>
      <c r="CC662" s="84"/>
      <c r="CG662" s="84"/>
      <c r="CK662" s="85"/>
      <c r="CL662" s="85"/>
      <c r="CM662" s="84"/>
      <c r="CO662" s="84"/>
      <c r="CT662" s="84"/>
      <c r="CY662" s="84"/>
      <c r="DC662" s="84"/>
      <c r="DG662" s="84"/>
      <c r="DK662" s="84"/>
      <c r="DO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5"/>
      <c r="AM663" s="84"/>
      <c r="AN663" s="84"/>
      <c r="AP663" s="84"/>
      <c r="AU663" s="84"/>
      <c r="AY663" s="86"/>
      <c r="BE663" s="84"/>
      <c r="BJ663" s="84"/>
      <c r="BO663" s="84"/>
      <c r="BT663" s="84"/>
      <c r="BY663" s="84"/>
      <c r="CC663" s="84"/>
      <c r="CG663" s="84"/>
      <c r="CK663" s="85"/>
      <c r="CL663" s="85"/>
      <c r="CM663" s="84"/>
      <c r="CO663" s="84"/>
      <c r="CT663" s="84"/>
      <c r="CY663" s="84"/>
      <c r="DC663" s="84"/>
      <c r="DG663" s="84"/>
      <c r="DK663" s="84"/>
      <c r="DO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5"/>
      <c r="AM664" s="84"/>
      <c r="AN664" s="84"/>
      <c r="AP664" s="84"/>
      <c r="AU664" s="84"/>
      <c r="AY664" s="86"/>
      <c r="BE664" s="84"/>
      <c r="BJ664" s="84"/>
      <c r="BO664" s="84"/>
      <c r="BT664" s="84"/>
      <c r="BY664" s="84"/>
      <c r="CC664" s="84"/>
      <c r="CG664" s="84"/>
      <c r="CK664" s="85"/>
      <c r="CL664" s="85"/>
      <c r="CM664" s="84"/>
      <c r="CO664" s="84"/>
      <c r="CT664" s="84"/>
      <c r="CY664" s="84"/>
      <c r="DC664" s="84"/>
      <c r="DG664" s="84"/>
      <c r="DK664" s="84"/>
      <c r="DO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5"/>
      <c r="AM665" s="84"/>
      <c r="AN665" s="84"/>
      <c r="AP665" s="84"/>
      <c r="AU665" s="84"/>
      <c r="AY665" s="86"/>
      <c r="BE665" s="84"/>
      <c r="BJ665" s="84"/>
      <c r="BO665" s="84"/>
      <c r="BT665" s="84"/>
      <c r="BY665" s="84"/>
      <c r="CC665" s="84"/>
      <c r="CG665" s="84"/>
      <c r="CK665" s="85"/>
      <c r="CL665" s="85"/>
      <c r="CM665" s="84"/>
      <c r="CO665" s="84"/>
      <c r="CT665" s="84"/>
      <c r="CY665" s="84"/>
      <c r="DC665" s="84"/>
      <c r="DG665" s="84"/>
      <c r="DK665" s="84"/>
      <c r="DO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5"/>
      <c r="AM666" s="84"/>
      <c r="AN666" s="84"/>
      <c r="AP666" s="84"/>
      <c r="AU666" s="84"/>
      <c r="AY666" s="86"/>
      <c r="BE666" s="84"/>
      <c r="BJ666" s="84"/>
      <c r="BO666" s="84"/>
      <c r="BT666" s="84"/>
      <c r="BY666" s="84"/>
      <c r="CC666" s="84"/>
      <c r="CG666" s="84"/>
      <c r="CK666" s="85"/>
      <c r="CL666" s="85"/>
      <c r="CM666" s="84"/>
      <c r="CO666" s="84"/>
      <c r="CT666" s="84"/>
      <c r="CY666" s="84"/>
      <c r="DC666" s="84"/>
      <c r="DG666" s="84"/>
      <c r="DK666" s="84"/>
      <c r="DO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5"/>
      <c r="AM667" s="84"/>
      <c r="AN667" s="84"/>
      <c r="AP667" s="84"/>
      <c r="AU667" s="84"/>
      <c r="AY667" s="86"/>
      <c r="BE667" s="84"/>
      <c r="BJ667" s="84"/>
      <c r="BO667" s="84"/>
      <c r="BT667" s="84"/>
      <c r="BY667" s="84"/>
      <c r="CC667" s="84"/>
      <c r="CG667" s="84"/>
      <c r="CK667" s="85"/>
      <c r="CL667" s="85"/>
      <c r="CM667" s="84"/>
      <c r="CO667" s="84"/>
      <c r="CT667" s="84"/>
      <c r="CY667" s="84"/>
      <c r="DC667" s="84"/>
      <c r="DG667" s="84"/>
      <c r="DK667" s="84"/>
      <c r="DO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5"/>
      <c r="AM668" s="84"/>
      <c r="AN668" s="84"/>
      <c r="AP668" s="84"/>
      <c r="AU668" s="84"/>
      <c r="AY668" s="86"/>
      <c r="BE668" s="84"/>
      <c r="BJ668" s="84"/>
      <c r="BO668" s="84"/>
      <c r="BT668" s="84"/>
      <c r="BY668" s="84"/>
      <c r="CC668" s="84"/>
      <c r="CG668" s="84"/>
      <c r="CK668" s="85"/>
      <c r="CL668" s="85"/>
      <c r="CM668" s="84"/>
      <c r="CO668" s="84"/>
      <c r="CT668" s="84"/>
      <c r="CY668" s="84"/>
      <c r="DC668" s="84"/>
      <c r="DG668" s="84"/>
      <c r="DK668" s="84"/>
      <c r="DO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5"/>
      <c r="AM669" s="84"/>
      <c r="AN669" s="84"/>
      <c r="AP669" s="84"/>
      <c r="AU669" s="84"/>
      <c r="AY669" s="86"/>
      <c r="BE669" s="84"/>
      <c r="BJ669" s="84"/>
      <c r="BO669" s="84"/>
      <c r="BT669" s="84"/>
      <c r="BY669" s="84"/>
      <c r="CC669" s="84"/>
      <c r="CG669" s="84"/>
      <c r="CK669" s="85"/>
      <c r="CL669" s="85"/>
      <c r="CM669" s="84"/>
      <c r="CO669" s="84"/>
      <c r="CT669" s="84"/>
      <c r="CY669" s="84"/>
      <c r="DC669" s="84"/>
      <c r="DG669" s="84"/>
      <c r="DK669" s="84"/>
      <c r="DO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5"/>
      <c r="AM670" s="84"/>
      <c r="AN670" s="84"/>
      <c r="AP670" s="84"/>
      <c r="AU670" s="84"/>
      <c r="AY670" s="86"/>
      <c r="BE670" s="84"/>
      <c r="BJ670" s="84"/>
      <c r="BO670" s="84"/>
      <c r="BT670" s="84"/>
      <c r="BY670" s="84"/>
      <c r="CC670" s="84"/>
      <c r="CG670" s="84"/>
      <c r="CK670" s="85"/>
      <c r="CL670" s="85"/>
      <c r="CM670" s="84"/>
      <c r="CO670" s="84"/>
      <c r="CT670" s="84"/>
      <c r="CY670" s="84"/>
      <c r="DC670" s="84"/>
      <c r="DG670" s="84"/>
      <c r="DK670" s="84"/>
      <c r="DO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5"/>
      <c r="AM671" s="84"/>
      <c r="AN671" s="84"/>
      <c r="AP671" s="84"/>
      <c r="AU671" s="84"/>
      <c r="AY671" s="86"/>
      <c r="BE671" s="84"/>
      <c r="BJ671" s="84"/>
      <c r="BO671" s="84"/>
      <c r="BT671" s="84"/>
      <c r="BY671" s="84"/>
      <c r="CC671" s="84"/>
      <c r="CG671" s="84"/>
      <c r="CK671" s="85"/>
      <c r="CL671" s="85"/>
      <c r="CM671" s="84"/>
      <c r="CO671" s="84"/>
      <c r="CT671" s="84"/>
      <c r="CY671" s="84"/>
      <c r="DC671" s="84"/>
      <c r="DG671" s="84"/>
      <c r="DK671" s="84"/>
      <c r="DO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5"/>
      <c r="AM672" s="84"/>
      <c r="AN672" s="84"/>
      <c r="AP672" s="84"/>
      <c r="AU672" s="84"/>
      <c r="AY672" s="86"/>
      <c r="BE672" s="84"/>
      <c r="BJ672" s="84"/>
      <c r="BO672" s="84"/>
      <c r="BT672" s="84"/>
      <c r="BY672" s="84"/>
      <c r="CC672" s="84"/>
      <c r="CG672" s="84"/>
      <c r="CK672" s="85"/>
      <c r="CL672" s="85"/>
      <c r="CM672" s="84"/>
      <c r="CO672" s="84"/>
      <c r="CT672" s="84"/>
      <c r="CY672" s="84"/>
      <c r="DC672" s="84"/>
      <c r="DG672" s="84"/>
      <c r="DK672" s="84"/>
      <c r="DO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5"/>
      <c r="AM673" s="84"/>
      <c r="AN673" s="84"/>
      <c r="AP673" s="84"/>
      <c r="AU673" s="84"/>
      <c r="AY673" s="86"/>
      <c r="BE673" s="84"/>
      <c r="BJ673" s="84"/>
      <c r="BO673" s="84"/>
      <c r="BT673" s="84"/>
      <c r="BY673" s="84"/>
      <c r="CC673" s="84"/>
      <c r="CG673" s="84"/>
      <c r="CK673" s="85"/>
      <c r="CL673" s="85"/>
      <c r="CM673" s="84"/>
      <c r="CO673" s="84"/>
      <c r="CT673" s="84"/>
      <c r="CY673" s="84"/>
      <c r="DC673" s="84"/>
      <c r="DG673" s="84"/>
      <c r="DK673" s="84"/>
      <c r="DO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5"/>
      <c r="AM674" s="84"/>
      <c r="AN674" s="84"/>
      <c r="AP674" s="84"/>
      <c r="AU674" s="84"/>
      <c r="AY674" s="86"/>
      <c r="BE674" s="84"/>
      <c r="BJ674" s="84"/>
      <c r="BO674" s="84"/>
      <c r="BT674" s="84"/>
      <c r="BY674" s="84"/>
      <c r="CC674" s="84"/>
      <c r="CG674" s="84"/>
      <c r="CK674" s="85"/>
      <c r="CL674" s="85"/>
      <c r="CM674" s="84"/>
      <c r="CO674" s="84"/>
      <c r="CT674" s="84"/>
      <c r="CY674" s="84"/>
      <c r="DC674" s="84"/>
      <c r="DG674" s="84"/>
      <c r="DK674" s="84"/>
      <c r="DO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5"/>
      <c r="AM675" s="84"/>
      <c r="AN675" s="84"/>
      <c r="AP675" s="84"/>
      <c r="AU675" s="84"/>
      <c r="AY675" s="86"/>
      <c r="BE675" s="84"/>
      <c r="BJ675" s="84"/>
      <c r="BO675" s="84"/>
      <c r="BT675" s="84"/>
      <c r="BY675" s="84"/>
      <c r="CC675" s="84"/>
      <c r="CG675" s="84"/>
      <c r="CK675" s="85"/>
      <c r="CL675" s="85"/>
      <c r="CM675" s="84"/>
      <c r="CO675" s="84"/>
      <c r="CT675" s="84"/>
      <c r="CY675" s="84"/>
      <c r="DC675" s="84"/>
      <c r="DG675" s="84"/>
      <c r="DK675" s="84"/>
      <c r="DO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5"/>
      <c r="AM676" s="84"/>
      <c r="AN676" s="84"/>
      <c r="AP676" s="84"/>
      <c r="AU676" s="84"/>
      <c r="AY676" s="86"/>
      <c r="BE676" s="84"/>
      <c r="BJ676" s="84"/>
      <c r="BO676" s="84"/>
      <c r="BT676" s="84"/>
      <c r="BY676" s="84"/>
      <c r="CC676" s="84"/>
      <c r="CG676" s="84"/>
      <c r="CK676" s="85"/>
      <c r="CL676" s="85"/>
      <c r="CM676" s="84"/>
      <c r="CO676" s="84"/>
      <c r="CT676" s="84"/>
      <c r="CY676" s="84"/>
      <c r="DC676" s="84"/>
      <c r="DG676" s="84"/>
      <c r="DK676" s="84"/>
      <c r="DO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5"/>
      <c r="AM677" s="84"/>
      <c r="AN677" s="84"/>
      <c r="AP677" s="84"/>
      <c r="AU677" s="84"/>
      <c r="AY677" s="86"/>
      <c r="BE677" s="84"/>
      <c r="BJ677" s="84"/>
      <c r="BO677" s="84"/>
      <c r="BT677" s="84"/>
      <c r="BY677" s="84"/>
      <c r="CC677" s="84"/>
      <c r="CG677" s="84"/>
      <c r="CK677" s="85"/>
      <c r="CL677" s="85"/>
      <c r="CM677" s="84"/>
      <c r="CO677" s="84"/>
      <c r="CT677" s="84"/>
      <c r="CY677" s="84"/>
      <c r="DC677" s="84"/>
      <c r="DG677" s="84"/>
      <c r="DK677" s="84"/>
      <c r="DO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5"/>
      <c r="AM678" s="84"/>
      <c r="AN678" s="84"/>
      <c r="AP678" s="84"/>
      <c r="AU678" s="84"/>
      <c r="AY678" s="86"/>
      <c r="BE678" s="84"/>
      <c r="BJ678" s="84"/>
      <c r="BO678" s="84"/>
      <c r="BT678" s="84"/>
      <c r="BY678" s="84"/>
      <c r="CC678" s="84"/>
      <c r="CG678" s="84"/>
      <c r="CK678" s="85"/>
      <c r="CL678" s="85"/>
      <c r="CM678" s="84"/>
      <c r="CO678" s="84"/>
      <c r="CT678" s="84"/>
      <c r="CY678" s="84"/>
      <c r="DC678" s="84"/>
      <c r="DG678" s="84"/>
      <c r="DK678" s="84"/>
      <c r="DO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5"/>
      <c r="AM679" s="84"/>
      <c r="AN679" s="84"/>
      <c r="AP679" s="84"/>
      <c r="AU679" s="84"/>
      <c r="AY679" s="86"/>
      <c r="BE679" s="84"/>
      <c r="BJ679" s="84"/>
      <c r="BO679" s="84"/>
      <c r="BT679" s="84"/>
      <c r="BY679" s="84"/>
      <c r="CC679" s="84"/>
      <c r="CG679" s="84"/>
      <c r="CK679" s="85"/>
      <c r="CL679" s="85"/>
      <c r="CM679" s="84"/>
      <c r="CO679" s="84"/>
      <c r="CT679" s="84"/>
      <c r="CY679" s="84"/>
      <c r="DC679" s="84"/>
      <c r="DG679" s="84"/>
      <c r="DK679" s="84"/>
      <c r="DO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5"/>
      <c r="AM680" s="84"/>
      <c r="AN680" s="84"/>
      <c r="AP680" s="84"/>
      <c r="AU680" s="84"/>
      <c r="AY680" s="86"/>
      <c r="BE680" s="84"/>
      <c r="BJ680" s="84"/>
      <c r="BO680" s="84"/>
      <c r="BT680" s="84"/>
      <c r="BY680" s="84"/>
      <c r="CC680" s="84"/>
      <c r="CG680" s="84"/>
      <c r="CK680" s="85"/>
      <c r="CL680" s="85"/>
      <c r="CM680" s="84"/>
      <c r="CO680" s="84"/>
      <c r="CT680" s="84"/>
      <c r="CY680" s="84"/>
      <c r="DC680" s="84"/>
      <c r="DG680" s="84"/>
      <c r="DK680" s="84"/>
      <c r="DO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5"/>
      <c r="AM681" s="84"/>
      <c r="AN681" s="84"/>
      <c r="AP681" s="84"/>
      <c r="AU681" s="84"/>
      <c r="AY681" s="86"/>
      <c r="BE681" s="84"/>
      <c r="BJ681" s="84"/>
      <c r="BO681" s="84"/>
      <c r="BT681" s="84"/>
      <c r="BY681" s="84"/>
      <c r="CC681" s="84"/>
      <c r="CG681" s="84"/>
      <c r="CK681" s="85"/>
      <c r="CL681" s="85"/>
      <c r="CM681" s="84"/>
      <c r="CO681" s="84"/>
      <c r="CT681" s="84"/>
      <c r="CY681" s="84"/>
      <c r="DC681" s="84"/>
      <c r="DG681" s="84"/>
      <c r="DK681" s="84"/>
      <c r="DO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5"/>
      <c r="AM682" s="84"/>
      <c r="AN682" s="84"/>
      <c r="AP682" s="84"/>
      <c r="AU682" s="84"/>
      <c r="AY682" s="86"/>
      <c r="BE682" s="84"/>
      <c r="BJ682" s="84"/>
      <c r="BO682" s="84"/>
      <c r="BT682" s="84"/>
      <c r="BY682" s="84"/>
      <c r="CC682" s="84"/>
      <c r="CG682" s="84"/>
      <c r="CK682" s="85"/>
      <c r="CL682" s="85"/>
      <c r="CM682" s="84"/>
      <c r="CO682" s="84"/>
      <c r="CT682" s="84"/>
      <c r="CY682" s="84"/>
      <c r="DC682" s="84"/>
      <c r="DG682" s="84"/>
      <c r="DK682" s="84"/>
      <c r="DO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5"/>
      <c r="AM683" s="84"/>
      <c r="AN683" s="84"/>
      <c r="AP683" s="84"/>
      <c r="AU683" s="84"/>
      <c r="AY683" s="86"/>
      <c r="BE683" s="84"/>
      <c r="BJ683" s="84"/>
      <c r="BO683" s="84"/>
      <c r="BT683" s="84"/>
      <c r="BY683" s="84"/>
      <c r="CC683" s="84"/>
      <c r="CG683" s="84"/>
      <c r="CK683" s="85"/>
      <c r="CL683" s="85"/>
      <c r="CM683" s="84"/>
      <c r="CO683" s="84"/>
      <c r="CT683" s="84"/>
      <c r="CY683" s="84"/>
      <c r="DC683" s="84"/>
      <c r="DG683" s="84"/>
      <c r="DK683" s="84"/>
      <c r="DO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5"/>
      <c r="AM684" s="84"/>
      <c r="AN684" s="84"/>
      <c r="AP684" s="84"/>
      <c r="AU684" s="84"/>
      <c r="AY684" s="86"/>
      <c r="BE684" s="84"/>
      <c r="BJ684" s="84"/>
      <c r="BO684" s="84"/>
      <c r="BT684" s="84"/>
      <c r="BY684" s="84"/>
      <c r="CC684" s="84"/>
      <c r="CG684" s="84"/>
      <c r="CK684" s="85"/>
      <c r="CL684" s="85"/>
      <c r="CM684" s="84"/>
      <c r="CO684" s="84"/>
      <c r="CT684" s="84"/>
      <c r="CY684" s="84"/>
      <c r="DC684" s="84"/>
      <c r="DG684" s="84"/>
      <c r="DK684" s="84"/>
      <c r="DO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5"/>
      <c r="AM685" s="84"/>
      <c r="AN685" s="84"/>
      <c r="AP685" s="84"/>
      <c r="AU685" s="84"/>
      <c r="AY685" s="86"/>
      <c r="BE685" s="84"/>
      <c r="BJ685" s="84"/>
      <c r="BO685" s="84"/>
      <c r="BT685" s="84"/>
      <c r="BY685" s="84"/>
      <c r="CC685" s="84"/>
      <c r="CG685" s="84"/>
      <c r="CK685" s="85"/>
      <c r="CL685" s="85"/>
      <c r="CM685" s="84"/>
      <c r="CO685" s="84"/>
      <c r="CT685" s="84"/>
      <c r="CY685" s="84"/>
      <c r="DC685" s="84"/>
      <c r="DG685" s="84"/>
      <c r="DK685" s="84"/>
      <c r="DO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5"/>
      <c r="AM686" s="84"/>
      <c r="AN686" s="84"/>
      <c r="AP686" s="84"/>
      <c r="AU686" s="84"/>
      <c r="AY686" s="86"/>
      <c r="BE686" s="84"/>
      <c r="BJ686" s="84"/>
      <c r="BO686" s="84"/>
      <c r="BT686" s="84"/>
      <c r="BY686" s="84"/>
      <c r="CC686" s="84"/>
      <c r="CG686" s="84"/>
      <c r="CK686" s="85"/>
      <c r="CL686" s="85"/>
      <c r="CM686" s="84"/>
      <c r="CO686" s="84"/>
      <c r="CT686" s="84"/>
      <c r="CY686" s="84"/>
      <c r="DC686" s="84"/>
      <c r="DG686" s="84"/>
      <c r="DK686" s="84"/>
      <c r="DO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5"/>
      <c r="AM687" s="84"/>
      <c r="AN687" s="84"/>
      <c r="AP687" s="84"/>
      <c r="AU687" s="84"/>
      <c r="AY687" s="86"/>
      <c r="BE687" s="84"/>
      <c r="BJ687" s="84"/>
      <c r="BO687" s="84"/>
      <c r="BT687" s="84"/>
      <c r="BY687" s="84"/>
      <c r="CC687" s="84"/>
      <c r="CG687" s="84"/>
      <c r="CK687" s="85"/>
      <c r="CL687" s="85"/>
      <c r="CM687" s="84"/>
      <c r="CO687" s="84"/>
      <c r="CT687" s="84"/>
      <c r="CY687" s="84"/>
      <c r="DC687" s="84"/>
      <c r="DG687" s="84"/>
      <c r="DK687" s="84"/>
      <c r="DO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5"/>
      <c r="AM688" s="84"/>
      <c r="AN688" s="84"/>
      <c r="AP688" s="84"/>
      <c r="AU688" s="84"/>
      <c r="AY688" s="86"/>
      <c r="BE688" s="84"/>
      <c r="BJ688" s="84"/>
      <c r="BO688" s="84"/>
      <c r="BT688" s="84"/>
      <c r="BY688" s="84"/>
      <c r="CC688" s="84"/>
      <c r="CG688" s="84"/>
      <c r="CK688" s="85"/>
      <c r="CL688" s="85"/>
      <c r="CM688" s="84"/>
      <c r="CO688" s="84"/>
      <c r="CT688" s="84"/>
      <c r="CY688" s="84"/>
      <c r="DC688" s="84"/>
      <c r="DG688" s="84"/>
      <c r="DK688" s="84"/>
      <c r="DO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5"/>
      <c r="AM689" s="84"/>
      <c r="AN689" s="84"/>
      <c r="AP689" s="84"/>
      <c r="AU689" s="84"/>
      <c r="AY689" s="86"/>
      <c r="BE689" s="84"/>
      <c r="BJ689" s="84"/>
      <c r="BO689" s="84"/>
      <c r="BT689" s="84"/>
      <c r="BY689" s="84"/>
      <c r="CC689" s="84"/>
      <c r="CG689" s="84"/>
      <c r="CK689" s="85"/>
      <c r="CL689" s="85"/>
      <c r="CM689" s="84"/>
      <c r="CO689" s="84"/>
      <c r="CT689" s="84"/>
      <c r="CY689" s="84"/>
      <c r="DC689" s="84"/>
      <c r="DG689" s="84"/>
      <c r="DK689" s="84"/>
      <c r="DO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5"/>
      <c r="AM690" s="84"/>
      <c r="AN690" s="84"/>
      <c r="AP690" s="84"/>
      <c r="AU690" s="84"/>
      <c r="AY690" s="86"/>
      <c r="BE690" s="84"/>
      <c r="BJ690" s="84"/>
      <c r="BO690" s="84"/>
      <c r="BT690" s="84"/>
      <c r="BY690" s="84"/>
      <c r="CC690" s="84"/>
      <c r="CG690" s="84"/>
      <c r="CK690" s="85"/>
      <c r="CL690" s="85"/>
      <c r="CM690" s="84"/>
      <c r="CO690" s="84"/>
      <c r="CT690" s="84"/>
      <c r="CY690" s="84"/>
      <c r="DC690" s="84"/>
      <c r="DG690" s="84"/>
      <c r="DK690" s="84"/>
      <c r="DO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5"/>
      <c r="AM691" s="84"/>
      <c r="AN691" s="84"/>
      <c r="AP691" s="84"/>
      <c r="AU691" s="84"/>
      <c r="AY691" s="86"/>
      <c r="BE691" s="84"/>
      <c r="BJ691" s="84"/>
      <c r="BO691" s="84"/>
      <c r="BT691" s="84"/>
      <c r="BY691" s="84"/>
      <c r="CC691" s="84"/>
      <c r="CG691" s="84"/>
      <c r="CK691" s="85"/>
      <c r="CL691" s="85"/>
      <c r="CM691" s="84"/>
      <c r="CO691" s="84"/>
      <c r="CT691" s="84"/>
      <c r="CY691" s="84"/>
      <c r="DC691" s="84"/>
      <c r="DG691" s="84"/>
      <c r="DK691" s="84"/>
      <c r="DO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5"/>
      <c r="AM692" s="84"/>
      <c r="AN692" s="84"/>
      <c r="AP692" s="84"/>
      <c r="AU692" s="84"/>
      <c r="AY692" s="86"/>
      <c r="BE692" s="84"/>
      <c r="BJ692" s="84"/>
      <c r="BO692" s="84"/>
      <c r="BT692" s="84"/>
      <c r="BY692" s="84"/>
      <c r="CC692" s="84"/>
      <c r="CG692" s="84"/>
      <c r="CK692" s="85"/>
      <c r="CL692" s="85"/>
      <c r="CM692" s="84"/>
      <c r="CO692" s="84"/>
      <c r="CT692" s="84"/>
      <c r="CY692" s="84"/>
      <c r="DC692" s="84"/>
      <c r="DG692" s="84"/>
      <c r="DK692" s="84"/>
      <c r="DO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5"/>
      <c r="AM693" s="84"/>
      <c r="AN693" s="84"/>
      <c r="AP693" s="84"/>
      <c r="AU693" s="84"/>
      <c r="AY693" s="86"/>
      <c r="BE693" s="84"/>
      <c r="BJ693" s="84"/>
      <c r="BO693" s="84"/>
      <c r="BT693" s="84"/>
      <c r="BY693" s="84"/>
      <c r="CC693" s="84"/>
      <c r="CG693" s="84"/>
      <c r="CK693" s="85"/>
      <c r="CL693" s="85"/>
      <c r="CM693" s="84"/>
      <c r="CO693" s="84"/>
      <c r="CT693" s="84"/>
      <c r="CY693" s="84"/>
      <c r="DC693" s="84"/>
      <c r="DG693" s="84"/>
      <c r="DK693" s="84"/>
      <c r="DO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5"/>
      <c r="AM694" s="84"/>
      <c r="AN694" s="84"/>
      <c r="AP694" s="84"/>
      <c r="AU694" s="84"/>
      <c r="AY694" s="86"/>
      <c r="BE694" s="84"/>
      <c r="BJ694" s="84"/>
      <c r="BO694" s="84"/>
      <c r="BT694" s="84"/>
      <c r="BY694" s="84"/>
      <c r="CC694" s="84"/>
      <c r="CG694" s="84"/>
      <c r="CK694" s="85"/>
      <c r="CL694" s="85"/>
      <c r="CM694" s="84"/>
      <c r="CO694" s="84"/>
      <c r="CT694" s="84"/>
      <c r="CY694" s="84"/>
      <c r="DC694" s="84"/>
      <c r="DG694" s="84"/>
      <c r="DK694" s="84"/>
      <c r="DO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5"/>
      <c r="AM695" s="84"/>
      <c r="AN695" s="84"/>
      <c r="AP695" s="84"/>
      <c r="AU695" s="84"/>
      <c r="AY695" s="86"/>
      <c r="BE695" s="84"/>
      <c r="BJ695" s="84"/>
      <c r="BO695" s="84"/>
      <c r="BT695" s="84"/>
      <c r="BY695" s="84"/>
      <c r="CC695" s="84"/>
      <c r="CG695" s="84"/>
      <c r="CK695" s="85"/>
      <c r="CL695" s="85"/>
      <c r="CM695" s="84"/>
      <c r="CO695" s="84"/>
      <c r="CT695" s="84"/>
      <c r="CY695" s="84"/>
      <c r="DC695" s="84"/>
      <c r="DG695" s="84"/>
      <c r="DK695" s="84"/>
      <c r="DO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5"/>
      <c r="AM696" s="84"/>
      <c r="AN696" s="84"/>
      <c r="AP696" s="84"/>
      <c r="AU696" s="84"/>
      <c r="AY696" s="86"/>
      <c r="BE696" s="84"/>
      <c r="BJ696" s="84"/>
      <c r="BO696" s="84"/>
      <c r="BT696" s="84"/>
      <c r="BY696" s="84"/>
      <c r="CC696" s="84"/>
      <c r="CG696" s="84"/>
      <c r="CK696" s="85"/>
      <c r="CL696" s="85"/>
      <c r="CM696" s="84"/>
      <c r="CO696" s="84"/>
      <c r="CT696" s="84"/>
      <c r="CY696" s="84"/>
      <c r="DC696" s="84"/>
      <c r="DG696" s="84"/>
      <c r="DK696" s="84"/>
      <c r="DO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5"/>
      <c r="AM697" s="84"/>
      <c r="AN697" s="84"/>
      <c r="AP697" s="84"/>
      <c r="AU697" s="84"/>
      <c r="AY697" s="86"/>
      <c r="BE697" s="84"/>
      <c r="BJ697" s="84"/>
      <c r="BO697" s="84"/>
      <c r="BT697" s="84"/>
      <c r="BY697" s="84"/>
      <c r="CC697" s="84"/>
      <c r="CG697" s="84"/>
      <c r="CK697" s="85"/>
      <c r="CL697" s="85"/>
      <c r="CM697" s="84"/>
      <c r="CO697" s="84"/>
      <c r="CT697" s="84"/>
      <c r="CY697" s="84"/>
      <c r="DC697" s="84"/>
      <c r="DG697" s="84"/>
      <c r="DK697" s="84"/>
      <c r="DO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5"/>
      <c r="AM698" s="84"/>
      <c r="AN698" s="84"/>
      <c r="AP698" s="84"/>
      <c r="AU698" s="84"/>
      <c r="AY698" s="86"/>
      <c r="BE698" s="84"/>
      <c r="BJ698" s="84"/>
      <c r="BO698" s="84"/>
      <c r="BT698" s="84"/>
      <c r="BY698" s="84"/>
      <c r="CC698" s="84"/>
      <c r="CG698" s="84"/>
      <c r="CK698" s="85"/>
      <c r="CL698" s="85"/>
      <c r="CM698" s="84"/>
      <c r="CO698" s="84"/>
      <c r="CT698" s="84"/>
      <c r="CY698" s="84"/>
      <c r="DC698" s="84"/>
      <c r="DG698" s="84"/>
      <c r="DK698" s="84"/>
      <c r="DO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5"/>
      <c r="AM699" s="84"/>
      <c r="AN699" s="84"/>
      <c r="AP699" s="84"/>
      <c r="AU699" s="84"/>
      <c r="AY699" s="86"/>
      <c r="BE699" s="84"/>
      <c r="BJ699" s="84"/>
      <c r="BO699" s="84"/>
      <c r="BT699" s="84"/>
      <c r="BY699" s="84"/>
      <c r="CC699" s="84"/>
      <c r="CG699" s="84"/>
      <c r="CK699" s="85"/>
      <c r="CL699" s="85"/>
      <c r="CM699" s="84"/>
      <c r="CO699" s="84"/>
      <c r="CT699" s="84"/>
      <c r="CY699" s="84"/>
      <c r="DC699" s="84"/>
      <c r="DG699" s="84"/>
      <c r="DK699" s="84"/>
      <c r="DO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5"/>
      <c r="AM700" s="84"/>
      <c r="AN700" s="84"/>
      <c r="AP700" s="84"/>
      <c r="AU700" s="84"/>
      <c r="AY700" s="86"/>
      <c r="BE700" s="84"/>
      <c r="BJ700" s="84"/>
      <c r="BO700" s="84"/>
      <c r="BT700" s="84"/>
      <c r="BY700" s="84"/>
      <c r="CC700" s="84"/>
      <c r="CG700" s="84"/>
      <c r="CK700" s="85"/>
      <c r="CL700" s="85"/>
      <c r="CM700" s="84"/>
      <c r="CO700" s="84"/>
      <c r="CT700" s="84"/>
      <c r="CY700" s="84"/>
      <c r="DC700" s="84"/>
      <c r="DG700" s="84"/>
      <c r="DK700" s="84"/>
      <c r="DO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5"/>
      <c r="AM701" s="84"/>
      <c r="AN701" s="84"/>
      <c r="AP701" s="84"/>
      <c r="AU701" s="84"/>
      <c r="AY701" s="86"/>
      <c r="BE701" s="84"/>
      <c r="BJ701" s="84"/>
      <c r="BO701" s="84"/>
      <c r="BT701" s="84"/>
      <c r="BY701" s="84"/>
      <c r="CC701" s="84"/>
      <c r="CG701" s="84"/>
      <c r="CK701" s="85"/>
      <c r="CL701" s="85"/>
      <c r="CM701" s="84"/>
      <c r="CO701" s="84"/>
      <c r="CT701" s="84"/>
      <c r="CY701" s="84"/>
      <c r="DC701" s="84"/>
      <c r="DG701" s="84"/>
      <c r="DK701" s="84"/>
      <c r="DO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5"/>
      <c r="AM702" s="84"/>
      <c r="AN702" s="84"/>
      <c r="AP702" s="84"/>
      <c r="AU702" s="84"/>
      <c r="AY702" s="86"/>
      <c r="BE702" s="84"/>
      <c r="BJ702" s="84"/>
      <c r="BO702" s="84"/>
      <c r="BT702" s="84"/>
      <c r="BY702" s="84"/>
      <c r="CC702" s="84"/>
      <c r="CG702" s="84"/>
      <c r="CK702" s="85"/>
      <c r="CL702" s="85"/>
      <c r="CM702" s="84"/>
      <c r="CO702" s="84"/>
      <c r="CT702" s="84"/>
      <c r="CY702" s="84"/>
      <c r="DC702" s="84"/>
      <c r="DG702" s="84"/>
      <c r="DK702" s="84"/>
      <c r="DO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5"/>
      <c r="AM703" s="84"/>
      <c r="AN703" s="84"/>
      <c r="AP703" s="84"/>
      <c r="AU703" s="84"/>
      <c r="AY703" s="86"/>
      <c r="BE703" s="84"/>
      <c r="BJ703" s="84"/>
      <c r="BO703" s="84"/>
      <c r="BT703" s="84"/>
      <c r="BY703" s="84"/>
      <c r="CC703" s="84"/>
      <c r="CG703" s="84"/>
      <c r="CK703" s="85"/>
      <c r="CL703" s="85"/>
      <c r="CM703" s="84"/>
      <c r="CO703" s="84"/>
      <c r="CT703" s="84"/>
      <c r="CY703" s="84"/>
      <c r="DC703" s="84"/>
      <c r="DG703" s="84"/>
      <c r="DK703" s="84"/>
      <c r="DO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5"/>
      <c r="AM704" s="84"/>
      <c r="AN704" s="84"/>
      <c r="AP704" s="84"/>
      <c r="AU704" s="84"/>
      <c r="AY704" s="86"/>
      <c r="BE704" s="84"/>
      <c r="BJ704" s="84"/>
      <c r="BO704" s="84"/>
      <c r="BT704" s="84"/>
      <c r="BY704" s="84"/>
      <c r="CC704" s="84"/>
      <c r="CG704" s="84"/>
      <c r="CK704" s="85"/>
      <c r="CL704" s="85"/>
      <c r="CM704" s="84"/>
      <c r="CO704" s="84"/>
      <c r="CT704" s="84"/>
      <c r="CY704" s="84"/>
      <c r="DC704" s="84"/>
      <c r="DG704" s="84"/>
      <c r="DK704" s="84"/>
      <c r="DO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5"/>
      <c r="AM705" s="84"/>
      <c r="AN705" s="84"/>
      <c r="AP705" s="84"/>
      <c r="AU705" s="84"/>
      <c r="AY705" s="86"/>
      <c r="BE705" s="84"/>
      <c r="BJ705" s="84"/>
      <c r="BO705" s="84"/>
      <c r="BT705" s="84"/>
      <c r="BY705" s="84"/>
      <c r="CC705" s="84"/>
      <c r="CG705" s="84"/>
      <c r="CK705" s="85"/>
      <c r="CL705" s="85"/>
      <c r="CM705" s="84"/>
      <c r="CO705" s="84"/>
      <c r="CT705" s="84"/>
      <c r="CY705" s="84"/>
      <c r="DC705" s="84"/>
      <c r="DG705" s="84"/>
      <c r="DK705" s="84"/>
      <c r="DO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5"/>
      <c r="AM706" s="84"/>
      <c r="AN706" s="84"/>
      <c r="AP706" s="84"/>
      <c r="AU706" s="84"/>
      <c r="AY706" s="86"/>
      <c r="BE706" s="84"/>
      <c r="BJ706" s="84"/>
      <c r="BO706" s="84"/>
      <c r="BT706" s="84"/>
      <c r="BY706" s="84"/>
      <c r="CC706" s="84"/>
      <c r="CG706" s="84"/>
      <c r="CK706" s="85"/>
      <c r="CL706" s="85"/>
      <c r="CM706" s="84"/>
      <c r="CO706" s="84"/>
      <c r="CT706" s="84"/>
      <c r="CY706" s="84"/>
      <c r="DC706" s="84"/>
      <c r="DG706" s="84"/>
      <c r="DK706" s="84"/>
      <c r="DO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5"/>
      <c r="AM707" s="84"/>
      <c r="AN707" s="84"/>
      <c r="AP707" s="84"/>
      <c r="AU707" s="84"/>
      <c r="AY707" s="86"/>
      <c r="BE707" s="84"/>
      <c r="BJ707" s="84"/>
      <c r="BO707" s="84"/>
      <c r="BT707" s="84"/>
      <c r="BY707" s="84"/>
      <c r="CC707" s="84"/>
      <c r="CG707" s="84"/>
      <c r="CK707" s="85"/>
      <c r="CL707" s="85"/>
      <c r="CM707" s="84"/>
      <c r="CO707" s="84"/>
      <c r="CT707" s="84"/>
      <c r="CY707" s="84"/>
      <c r="DC707" s="84"/>
      <c r="DG707" s="84"/>
      <c r="DK707" s="84"/>
      <c r="DO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5"/>
      <c r="AM708" s="84"/>
      <c r="AN708" s="84"/>
      <c r="AP708" s="84"/>
      <c r="AU708" s="84"/>
      <c r="AY708" s="86"/>
      <c r="BE708" s="84"/>
      <c r="BJ708" s="84"/>
      <c r="BO708" s="84"/>
      <c r="BT708" s="84"/>
      <c r="BY708" s="84"/>
      <c r="CC708" s="84"/>
      <c r="CG708" s="84"/>
      <c r="CK708" s="85"/>
      <c r="CL708" s="85"/>
      <c r="CM708" s="84"/>
      <c r="CO708" s="84"/>
      <c r="CT708" s="84"/>
      <c r="CY708" s="84"/>
      <c r="DC708" s="84"/>
      <c r="DG708" s="84"/>
      <c r="DK708" s="84"/>
      <c r="DO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5"/>
      <c r="AM709" s="84"/>
      <c r="AN709" s="84"/>
      <c r="AP709" s="84"/>
      <c r="AU709" s="84"/>
      <c r="AY709" s="86"/>
      <c r="BE709" s="84"/>
      <c r="BJ709" s="84"/>
      <c r="BO709" s="84"/>
      <c r="BT709" s="84"/>
      <c r="BY709" s="84"/>
      <c r="CC709" s="84"/>
      <c r="CG709" s="84"/>
      <c r="CK709" s="85"/>
      <c r="CL709" s="85"/>
      <c r="CM709" s="84"/>
      <c r="CO709" s="84"/>
      <c r="CT709" s="84"/>
      <c r="CY709" s="84"/>
      <c r="DC709" s="84"/>
      <c r="DG709" s="84"/>
      <c r="DK709" s="84"/>
      <c r="DO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5"/>
      <c r="AM710" s="84"/>
      <c r="AN710" s="84"/>
      <c r="AP710" s="84"/>
      <c r="AU710" s="84"/>
      <c r="AY710" s="86"/>
      <c r="BE710" s="84"/>
      <c r="BJ710" s="84"/>
      <c r="BO710" s="84"/>
      <c r="BT710" s="84"/>
      <c r="BY710" s="84"/>
      <c r="CC710" s="84"/>
      <c r="CG710" s="84"/>
      <c r="CK710" s="85"/>
      <c r="CL710" s="85"/>
      <c r="CM710" s="84"/>
      <c r="CO710" s="84"/>
      <c r="CT710" s="84"/>
      <c r="CY710" s="84"/>
      <c r="DC710" s="84"/>
      <c r="DG710" s="84"/>
      <c r="DK710" s="84"/>
      <c r="DO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5"/>
      <c r="AM711" s="84"/>
      <c r="AN711" s="84"/>
      <c r="AP711" s="84"/>
      <c r="AU711" s="84"/>
      <c r="AY711" s="86"/>
      <c r="BE711" s="84"/>
      <c r="BJ711" s="84"/>
      <c r="BO711" s="84"/>
      <c r="BT711" s="84"/>
      <c r="BY711" s="84"/>
      <c r="CC711" s="84"/>
      <c r="CG711" s="84"/>
      <c r="CK711" s="85"/>
      <c r="CL711" s="85"/>
      <c r="CM711" s="84"/>
      <c r="CO711" s="84"/>
      <c r="CT711" s="84"/>
      <c r="CY711" s="84"/>
      <c r="DC711" s="84"/>
      <c r="DG711" s="84"/>
      <c r="DK711" s="84"/>
      <c r="DO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5"/>
      <c r="AM712" s="84"/>
      <c r="AN712" s="84"/>
      <c r="AP712" s="84"/>
      <c r="AU712" s="84"/>
      <c r="AY712" s="86"/>
      <c r="BE712" s="84"/>
      <c r="BJ712" s="84"/>
      <c r="BO712" s="84"/>
      <c r="BT712" s="84"/>
      <c r="BY712" s="84"/>
      <c r="CC712" s="84"/>
      <c r="CG712" s="84"/>
      <c r="CK712" s="85"/>
      <c r="CL712" s="85"/>
      <c r="CM712" s="84"/>
      <c r="CO712" s="84"/>
      <c r="CT712" s="84"/>
      <c r="CY712" s="84"/>
      <c r="DC712" s="84"/>
      <c r="DG712" s="84"/>
      <c r="DK712" s="84"/>
      <c r="DO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5"/>
      <c r="AM713" s="84"/>
      <c r="AN713" s="84"/>
      <c r="AP713" s="84"/>
      <c r="AU713" s="84"/>
      <c r="AY713" s="86"/>
      <c r="BE713" s="84"/>
      <c r="BJ713" s="84"/>
      <c r="BO713" s="84"/>
      <c r="BT713" s="84"/>
      <c r="BY713" s="84"/>
      <c r="CC713" s="84"/>
      <c r="CG713" s="84"/>
      <c r="CK713" s="85"/>
      <c r="CL713" s="85"/>
      <c r="CM713" s="84"/>
      <c r="CO713" s="84"/>
      <c r="CT713" s="84"/>
      <c r="CY713" s="84"/>
      <c r="DC713" s="84"/>
      <c r="DG713" s="84"/>
      <c r="DK713" s="84"/>
      <c r="DO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5"/>
      <c r="AM714" s="84"/>
      <c r="AN714" s="84"/>
      <c r="AP714" s="84"/>
      <c r="AU714" s="84"/>
      <c r="AY714" s="86"/>
      <c r="BE714" s="84"/>
      <c r="BJ714" s="84"/>
      <c r="BO714" s="84"/>
      <c r="BT714" s="84"/>
      <c r="BY714" s="84"/>
      <c r="CC714" s="84"/>
      <c r="CG714" s="84"/>
      <c r="CK714" s="85"/>
      <c r="CL714" s="85"/>
      <c r="CM714" s="84"/>
      <c r="CO714" s="84"/>
      <c r="CT714" s="84"/>
      <c r="CY714" s="84"/>
      <c r="DC714" s="84"/>
      <c r="DG714" s="84"/>
      <c r="DK714" s="84"/>
      <c r="DO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5"/>
      <c r="AM715" s="84"/>
      <c r="AN715" s="84"/>
      <c r="AP715" s="84"/>
      <c r="AU715" s="84"/>
      <c r="AY715" s="86"/>
      <c r="BE715" s="84"/>
      <c r="BJ715" s="84"/>
      <c r="BO715" s="84"/>
      <c r="BT715" s="84"/>
      <c r="BY715" s="84"/>
      <c r="CC715" s="84"/>
      <c r="CG715" s="84"/>
      <c r="CK715" s="85"/>
      <c r="CL715" s="85"/>
      <c r="CM715" s="84"/>
      <c r="CO715" s="84"/>
      <c r="CT715" s="84"/>
      <c r="CY715" s="84"/>
      <c r="DC715" s="84"/>
      <c r="DG715" s="84"/>
      <c r="DK715" s="84"/>
      <c r="DO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5"/>
      <c r="AM716" s="84"/>
      <c r="AN716" s="84"/>
      <c r="AP716" s="84"/>
      <c r="AU716" s="84"/>
      <c r="AY716" s="86"/>
      <c r="BE716" s="84"/>
      <c r="BJ716" s="84"/>
      <c r="BO716" s="84"/>
      <c r="BT716" s="84"/>
      <c r="BY716" s="84"/>
      <c r="CC716" s="84"/>
      <c r="CG716" s="84"/>
      <c r="CK716" s="85"/>
      <c r="CL716" s="85"/>
      <c r="CM716" s="84"/>
      <c r="CO716" s="84"/>
      <c r="CT716" s="84"/>
      <c r="CY716" s="84"/>
      <c r="DC716" s="84"/>
      <c r="DG716" s="84"/>
      <c r="DK716" s="84"/>
      <c r="DO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5"/>
      <c r="AM717" s="84"/>
      <c r="AN717" s="84"/>
      <c r="AP717" s="84"/>
      <c r="AU717" s="84"/>
      <c r="AY717" s="86"/>
      <c r="BE717" s="84"/>
      <c r="BJ717" s="84"/>
      <c r="BO717" s="84"/>
      <c r="BT717" s="84"/>
      <c r="BY717" s="84"/>
      <c r="CC717" s="84"/>
      <c r="CG717" s="84"/>
      <c r="CK717" s="85"/>
      <c r="CL717" s="85"/>
      <c r="CM717" s="84"/>
      <c r="CO717" s="84"/>
      <c r="CT717" s="84"/>
      <c r="CY717" s="84"/>
      <c r="DC717" s="84"/>
      <c r="DG717" s="84"/>
      <c r="DK717" s="84"/>
      <c r="DO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5"/>
      <c r="AM718" s="84"/>
      <c r="AN718" s="84"/>
      <c r="AP718" s="84"/>
      <c r="AU718" s="84"/>
      <c r="AY718" s="86"/>
      <c r="BE718" s="84"/>
      <c r="BJ718" s="84"/>
      <c r="BO718" s="84"/>
      <c r="BT718" s="84"/>
      <c r="BY718" s="84"/>
      <c r="CC718" s="84"/>
      <c r="CG718" s="84"/>
      <c r="CK718" s="85"/>
      <c r="CL718" s="85"/>
      <c r="CM718" s="84"/>
      <c r="CO718" s="84"/>
      <c r="CT718" s="84"/>
      <c r="CY718" s="84"/>
      <c r="DC718" s="84"/>
      <c r="DG718" s="84"/>
      <c r="DK718" s="84"/>
      <c r="DO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5"/>
      <c r="AM719" s="84"/>
      <c r="AN719" s="84"/>
      <c r="AP719" s="84"/>
      <c r="AU719" s="84"/>
      <c r="AY719" s="86"/>
      <c r="BE719" s="84"/>
      <c r="BJ719" s="84"/>
      <c r="BO719" s="84"/>
      <c r="BT719" s="84"/>
      <c r="BY719" s="84"/>
      <c r="CC719" s="84"/>
      <c r="CG719" s="84"/>
      <c r="CK719" s="85"/>
      <c r="CL719" s="85"/>
      <c r="CM719" s="84"/>
      <c r="CO719" s="84"/>
      <c r="CT719" s="84"/>
      <c r="CY719" s="84"/>
      <c r="DC719" s="84"/>
      <c r="DG719" s="84"/>
      <c r="DK719" s="84"/>
      <c r="DO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5"/>
      <c r="AM720" s="84"/>
      <c r="AN720" s="84"/>
      <c r="AP720" s="84"/>
      <c r="AU720" s="84"/>
      <c r="AY720" s="86"/>
      <c r="BE720" s="84"/>
      <c r="BJ720" s="84"/>
      <c r="BO720" s="84"/>
      <c r="BT720" s="84"/>
      <c r="BY720" s="84"/>
      <c r="CC720" s="84"/>
      <c r="CG720" s="84"/>
      <c r="CK720" s="85"/>
      <c r="CL720" s="85"/>
      <c r="CM720" s="84"/>
      <c r="CO720" s="84"/>
      <c r="CT720" s="84"/>
      <c r="CY720" s="84"/>
      <c r="DC720" s="84"/>
      <c r="DG720" s="84"/>
      <c r="DK720" s="84"/>
      <c r="DO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5"/>
      <c r="AM721" s="84"/>
      <c r="AN721" s="84"/>
      <c r="AP721" s="84"/>
      <c r="AU721" s="84"/>
      <c r="AY721" s="86"/>
      <c r="BE721" s="84"/>
      <c r="BJ721" s="84"/>
      <c r="BO721" s="84"/>
      <c r="BT721" s="84"/>
      <c r="BY721" s="84"/>
      <c r="CC721" s="84"/>
      <c r="CG721" s="84"/>
      <c r="CK721" s="85"/>
      <c r="CL721" s="85"/>
      <c r="CM721" s="84"/>
      <c r="CO721" s="84"/>
      <c r="CT721" s="84"/>
      <c r="CY721" s="84"/>
      <c r="DC721" s="84"/>
      <c r="DG721" s="84"/>
      <c r="DK721" s="84"/>
      <c r="DO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5"/>
      <c r="AM722" s="84"/>
      <c r="AN722" s="84"/>
      <c r="AP722" s="84"/>
      <c r="AU722" s="84"/>
      <c r="AY722" s="86"/>
      <c r="BE722" s="84"/>
      <c r="BJ722" s="84"/>
      <c r="BO722" s="84"/>
      <c r="BT722" s="84"/>
      <c r="BY722" s="84"/>
      <c r="CC722" s="84"/>
      <c r="CG722" s="84"/>
      <c r="CK722" s="85"/>
      <c r="CL722" s="85"/>
      <c r="CM722" s="84"/>
      <c r="CO722" s="84"/>
      <c r="CT722" s="84"/>
      <c r="CY722" s="84"/>
      <c r="DC722" s="84"/>
      <c r="DG722" s="84"/>
      <c r="DK722" s="84"/>
      <c r="DO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5"/>
      <c r="AM723" s="84"/>
      <c r="AN723" s="84"/>
      <c r="AP723" s="84"/>
      <c r="AU723" s="84"/>
      <c r="AY723" s="86"/>
      <c r="BE723" s="84"/>
      <c r="BJ723" s="84"/>
      <c r="BO723" s="84"/>
      <c r="BT723" s="84"/>
      <c r="BY723" s="84"/>
      <c r="CC723" s="84"/>
      <c r="CG723" s="84"/>
      <c r="CK723" s="85"/>
      <c r="CL723" s="85"/>
      <c r="CM723" s="84"/>
      <c r="CO723" s="84"/>
      <c r="CT723" s="84"/>
      <c r="CY723" s="84"/>
      <c r="DC723" s="84"/>
      <c r="DG723" s="84"/>
      <c r="DK723" s="84"/>
      <c r="DO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5"/>
      <c r="AM724" s="84"/>
      <c r="AN724" s="84"/>
      <c r="AP724" s="84"/>
      <c r="AU724" s="84"/>
      <c r="AY724" s="86"/>
      <c r="BE724" s="84"/>
      <c r="BJ724" s="84"/>
      <c r="BO724" s="84"/>
      <c r="BT724" s="84"/>
      <c r="BY724" s="84"/>
      <c r="CC724" s="84"/>
      <c r="CG724" s="84"/>
      <c r="CK724" s="85"/>
      <c r="CL724" s="85"/>
      <c r="CM724" s="84"/>
      <c r="CO724" s="84"/>
      <c r="CT724" s="84"/>
      <c r="CY724" s="84"/>
      <c r="DC724" s="84"/>
      <c r="DG724" s="84"/>
      <c r="DK724" s="84"/>
      <c r="DO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5"/>
      <c r="AM725" s="84"/>
      <c r="AN725" s="84"/>
      <c r="AP725" s="84"/>
      <c r="AU725" s="84"/>
      <c r="AY725" s="86"/>
      <c r="BE725" s="84"/>
      <c r="BJ725" s="84"/>
      <c r="BO725" s="84"/>
      <c r="BT725" s="84"/>
      <c r="BY725" s="84"/>
      <c r="CC725" s="84"/>
      <c r="CG725" s="84"/>
      <c r="CK725" s="85"/>
      <c r="CL725" s="85"/>
      <c r="CM725" s="84"/>
      <c r="CO725" s="84"/>
      <c r="CT725" s="84"/>
      <c r="CY725" s="84"/>
      <c r="DC725" s="84"/>
      <c r="DG725" s="84"/>
      <c r="DK725" s="84"/>
      <c r="DO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5"/>
      <c r="AM726" s="84"/>
      <c r="AN726" s="84"/>
      <c r="AP726" s="84"/>
      <c r="AU726" s="84"/>
      <c r="AY726" s="86"/>
      <c r="BE726" s="84"/>
      <c r="BJ726" s="84"/>
      <c r="BO726" s="84"/>
      <c r="BT726" s="84"/>
      <c r="BY726" s="84"/>
      <c r="CC726" s="84"/>
      <c r="CG726" s="84"/>
      <c r="CK726" s="85"/>
      <c r="CL726" s="85"/>
      <c r="CM726" s="84"/>
      <c r="CO726" s="84"/>
      <c r="CT726" s="84"/>
      <c r="CY726" s="84"/>
      <c r="DC726" s="84"/>
      <c r="DG726" s="84"/>
      <c r="DK726" s="84"/>
      <c r="DO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5"/>
      <c r="AM727" s="84"/>
      <c r="AN727" s="84"/>
      <c r="AP727" s="84"/>
      <c r="AU727" s="84"/>
      <c r="AY727" s="86"/>
      <c r="BE727" s="84"/>
      <c r="BJ727" s="84"/>
      <c r="BO727" s="84"/>
      <c r="BT727" s="84"/>
      <c r="BY727" s="84"/>
      <c r="CC727" s="84"/>
      <c r="CG727" s="84"/>
      <c r="CK727" s="85"/>
      <c r="CL727" s="85"/>
      <c r="CM727" s="84"/>
      <c r="CO727" s="84"/>
      <c r="CT727" s="84"/>
      <c r="CY727" s="84"/>
      <c r="DC727" s="84"/>
      <c r="DG727" s="84"/>
      <c r="DK727" s="84"/>
      <c r="DO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5"/>
      <c r="AM728" s="84"/>
      <c r="AN728" s="84"/>
      <c r="AP728" s="84"/>
      <c r="AU728" s="84"/>
      <c r="AY728" s="86"/>
      <c r="BE728" s="84"/>
      <c r="BJ728" s="84"/>
      <c r="BO728" s="84"/>
      <c r="BT728" s="84"/>
      <c r="BY728" s="84"/>
      <c r="CC728" s="84"/>
      <c r="CG728" s="84"/>
      <c r="CK728" s="85"/>
      <c r="CL728" s="85"/>
      <c r="CM728" s="84"/>
      <c r="CO728" s="84"/>
      <c r="CT728" s="84"/>
      <c r="CY728" s="84"/>
      <c r="DC728" s="84"/>
      <c r="DG728" s="84"/>
      <c r="DK728" s="84"/>
      <c r="DO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5"/>
      <c r="AM729" s="84"/>
      <c r="AN729" s="84"/>
      <c r="AP729" s="84"/>
      <c r="AU729" s="84"/>
      <c r="AY729" s="86"/>
      <c r="BE729" s="84"/>
      <c r="BJ729" s="84"/>
      <c r="BO729" s="84"/>
      <c r="BT729" s="84"/>
      <c r="BY729" s="84"/>
      <c r="CC729" s="84"/>
      <c r="CG729" s="84"/>
      <c r="CK729" s="85"/>
      <c r="CL729" s="85"/>
      <c r="CM729" s="84"/>
      <c r="CO729" s="84"/>
      <c r="CT729" s="84"/>
      <c r="CY729" s="84"/>
      <c r="DC729" s="84"/>
      <c r="DG729" s="84"/>
      <c r="DK729" s="84"/>
      <c r="DO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5"/>
      <c r="AM730" s="84"/>
      <c r="AN730" s="84"/>
      <c r="AP730" s="84"/>
      <c r="AU730" s="84"/>
      <c r="AY730" s="86"/>
      <c r="BE730" s="84"/>
      <c r="BJ730" s="84"/>
      <c r="BO730" s="84"/>
      <c r="BT730" s="84"/>
      <c r="BY730" s="84"/>
      <c r="CC730" s="84"/>
      <c r="CG730" s="84"/>
      <c r="CK730" s="85"/>
      <c r="CL730" s="85"/>
      <c r="CM730" s="84"/>
      <c r="CO730" s="84"/>
      <c r="CT730" s="84"/>
      <c r="CY730" s="84"/>
      <c r="DC730" s="84"/>
      <c r="DG730" s="84"/>
      <c r="DK730" s="84"/>
      <c r="DO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5"/>
      <c r="AM731" s="84"/>
      <c r="AN731" s="84"/>
      <c r="AP731" s="84"/>
      <c r="AU731" s="84"/>
      <c r="AY731" s="86"/>
      <c r="BE731" s="84"/>
      <c r="BJ731" s="84"/>
      <c r="BO731" s="84"/>
      <c r="BT731" s="84"/>
      <c r="BY731" s="84"/>
      <c r="CC731" s="84"/>
      <c r="CG731" s="84"/>
      <c r="CK731" s="85"/>
      <c r="CL731" s="85"/>
      <c r="CM731" s="84"/>
      <c r="CO731" s="84"/>
      <c r="CT731" s="84"/>
      <c r="CY731" s="84"/>
      <c r="DC731" s="84"/>
      <c r="DG731" s="84"/>
      <c r="DK731" s="84"/>
      <c r="DO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5"/>
      <c r="AM732" s="84"/>
      <c r="AN732" s="84"/>
      <c r="AP732" s="84"/>
      <c r="AU732" s="84"/>
      <c r="AY732" s="86"/>
      <c r="BE732" s="84"/>
      <c r="BJ732" s="84"/>
      <c r="BO732" s="84"/>
      <c r="BT732" s="84"/>
      <c r="BY732" s="84"/>
      <c r="CC732" s="84"/>
      <c r="CG732" s="84"/>
      <c r="CK732" s="85"/>
      <c r="CL732" s="85"/>
      <c r="CM732" s="84"/>
      <c r="CO732" s="84"/>
      <c r="CT732" s="84"/>
      <c r="CY732" s="84"/>
      <c r="DC732" s="84"/>
      <c r="DG732" s="84"/>
      <c r="DK732" s="84"/>
      <c r="DO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5"/>
      <c r="AM733" s="84"/>
      <c r="AN733" s="84"/>
      <c r="AP733" s="84"/>
      <c r="AU733" s="84"/>
      <c r="AY733" s="86"/>
      <c r="BE733" s="84"/>
      <c r="BJ733" s="84"/>
      <c r="BO733" s="84"/>
      <c r="BT733" s="84"/>
      <c r="BY733" s="84"/>
      <c r="CC733" s="84"/>
      <c r="CG733" s="84"/>
      <c r="CK733" s="85"/>
      <c r="CL733" s="85"/>
      <c r="CM733" s="84"/>
      <c r="CO733" s="84"/>
      <c r="CT733" s="84"/>
      <c r="CY733" s="84"/>
      <c r="DC733" s="84"/>
      <c r="DG733" s="84"/>
      <c r="DK733" s="84"/>
      <c r="DO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5"/>
      <c r="AM734" s="84"/>
      <c r="AN734" s="84"/>
      <c r="AP734" s="84"/>
      <c r="AU734" s="84"/>
      <c r="AY734" s="86"/>
      <c r="BE734" s="84"/>
      <c r="BJ734" s="84"/>
      <c r="BO734" s="84"/>
      <c r="BT734" s="84"/>
      <c r="BY734" s="84"/>
      <c r="CC734" s="84"/>
      <c r="CG734" s="84"/>
      <c r="CK734" s="85"/>
      <c r="CL734" s="85"/>
      <c r="CM734" s="84"/>
      <c r="CO734" s="84"/>
      <c r="CT734" s="84"/>
      <c r="CY734" s="84"/>
      <c r="DC734" s="84"/>
      <c r="DG734" s="84"/>
      <c r="DK734" s="84"/>
      <c r="DO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5"/>
      <c r="AM735" s="84"/>
      <c r="AN735" s="84"/>
      <c r="AP735" s="84"/>
      <c r="AU735" s="84"/>
      <c r="AY735" s="86"/>
      <c r="BE735" s="84"/>
      <c r="BJ735" s="84"/>
      <c r="BO735" s="84"/>
      <c r="BT735" s="84"/>
      <c r="BY735" s="84"/>
      <c r="CC735" s="84"/>
      <c r="CG735" s="84"/>
      <c r="CK735" s="85"/>
      <c r="CL735" s="85"/>
      <c r="CM735" s="84"/>
      <c r="CO735" s="84"/>
      <c r="CT735" s="84"/>
      <c r="CY735" s="84"/>
      <c r="DC735" s="84"/>
      <c r="DG735" s="84"/>
      <c r="DK735" s="84"/>
      <c r="DO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5"/>
      <c r="AM736" s="84"/>
      <c r="AN736" s="84"/>
      <c r="AP736" s="84"/>
      <c r="AU736" s="84"/>
      <c r="AY736" s="86"/>
      <c r="BE736" s="84"/>
      <c r="BJ736" s="84"/>
      <c r="BO736" s="84"/>
      <c r="BT736" s="84"/>
      <c r="BY736" s="84"/>
      <c r="CC736" s="84"/>
      <c r="CG736" s="84"/>
      <c r="CK736" s="85"/>
      <c r="CL736" s="85"/>
      <c r="CM736" s="84"/>
      <c r="CO736" s="84"/>
      <c r="CT736" s="84"/>
      <c r="CY736" s="84"/>
      <c r="DC736" s="84"/>
      <c r="DG736" s="84"/>
      <c r="DK736" s="84"/>
      <c r="DO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5"/>
      <c r="AM737" s="84"/>
      <c r="AN737" s="84"/>
      <c r="AP737" s="84"/>
      <c r="AU737" s="84"/>
      <c r="AY737" s="86"/>
      <c r="BE737" s="84"/>
      <c r="BJ737" s="84"/>
      <c r="BO737" s="84"/>
      <c r="BT737" s="84"/>
      <c r="BY737" s="84"/>
      <c r="CC737" s="84"/>
      <c r="CG737" s="84"/>
      <c r="CK737" s="85"/>
      <c r="CL737" s="85"/>
      <c r="CM737" s="84"/>
      <c r="CO737" s="84"/>
      <c r="CT737" s="84"/>
      <c r="CY737" s="84"/>
      <c r="DC737" s="84"/>
      <c r="DG737" s="84"/>
      <c r="DK737" s="84"/>
      <c r="DO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5"/>
      <c r="AM738" s="84"/>
      <c r="AN738" s="84"/>
      <c r="AP738" s="84"/>
      <c r="AU738" s="84"/>
      <c r="AY738" s="86"/>
      <c r="BE738" s="84"/>
      <c r="BJ738" s="84"/>
      <c r="BO738" s="84"/>
      <c r="BT738" s="84"/>
      <c r="BY738" s="84"/>
      <c r="CC738" s="84"/>
      <c r="CG738" s="84"/>
      <c r="CK738" s="85"/>
      <c r="CL738" s="85"/>
      <c r="CM738" s="84"/>
      <c r="CO738" s="84"/>
      <c r="CT738" s="84"/>
      <c r="CY738" s="84"/>
      <c r="DC738" s="84"/>
      <c r="DG738" s="84"/>
      <c r="DK738" s="84"/>
      <c r="DO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5"/>
      <c r="AM739" s="84"/>
      <c r="AN739" s="84"/>
      <c r="AP739" s="84"/>
      <c r="AU739" s="84"/>
      <c r="AY739" s="86"/>
      <c r="BE739" s="84"/>
      <c r="BJ739" s="84"/>
      <c r="BO739" s="84"/>
      <c r="BT739" s="84"/>
      <c r="BY739" s="84"/>
      <c r="CC739" s="84"/>
      <c r="CG739" s="84"/>
      <c r="CK739" s="85"/>
      <c r="CL739" s="85"/>
      <c r="CM739" s="84"/>
      <c r="CO739" s="84"/>
      <c r="CT739" s="84"/>
      <c r="CY739" s="84"/>
      <c r="DC739" s="84"/>
      <c r="DG739" s="84"/>
      <c r="DK739" s="84"/>
      <c r="DO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5"/>
      <c r="AM740" s="84"/>
      <c r="AN740" s="84"/>
      <c r="AP740" s="84"/>
      <c r="AU740" s="84"/>
      <c r="AY740" s="86"/>
      <c r="BE740" s="84"/>
      <c r="BJ740" s="84"/>
      <c r="BO740" s="84"/>
      <c r="BT740" s="84"/>
      <c r="BY740" s="84"/>
      <c r="CC740" s="84"/>
      <c r="CG740" s="84"/>
      <c r="CK740" s="85"/>
      <c r="CL740" s="85"/>
      <c r="CM740" s="84"/>
      <c r="CO740" s="84"/>
      <c r="CT740" s="84"/>
      <c r="CY740" s="84"/>
      <c r="DC740" s="84"/>
      <c r="DG740" s="84"/>
      <c r="DK740" s="84"/>
      <c r="DO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5"/>
      <c r="AM741" s="84"/>
      <c r="AN741" s="84"/>
      <c r="AP741" s="84"/>
      <c r="AU741" s="84"/>
      <c r="AY741" s="86"/>
      <c r="BE741" s="84"/>
      <c r="BJ741" s="84"/>
      <c r="BO741" s="84"/>
      <c r="BT741" s="84"/>
      <c r="BY741" s="84"/>
      <c r="CC741" s="84"/>
      <c r="CG741" s="84"/>
      <c r="CK741" s="85"/>
      <c r="CL741" s="85"/>
      <c r="CM741" s="84"/>
      <c r="CO741" s="84"/>
      <c r="CT741" s="84"/>
      <c r="CY741" s="84"/>
      <c r="DC741" s="84"/>
      <c r="DG741" s="84"/>
      <c r="DK741" s="84"/>
      <c r="DO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5"/>
      <c r="AM742" s="84"/>
      <c r="AN742" s="84"/>
      <c r="AP742" s="84"/>
      <c r="AU742" s="84"/>
      <c r="AY742" s="86"/>
      <c r="BE742" s="84"/>
      <c r="BJ742" s="84"/>
      <c r="BO742" s="84"/>
      <c r="BT742" s="84"/>
      <c r="BY742" s="84"/>
      <c r="CC742" s="84"/>
      <c r="CG742" s="84"/>
      <c r="CK742" s="85"/>
      <c r="CL742" s="85"/>
      <c r="CM742" s="84"/>
      <c r="CO742" s="84"/>
      <c r="CT742" s="84"/>
      <c r="CY742" s="84"/>
      <c r="DC742" s="84"/>
      <c r="DG742" s="84"/>
      <c r="DK742" s="84"/>
      <c r="DO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5"/>
      <c r="AM743" s="84"/>
      <c r="AN743" s="84"/>
      <c r="AP743" s="84"/>
      <c r="AU743" s="84"/>
      <c r="AY743" s="86"/>
      <c r="BE743" s="84"/>
      <c r="BJ743" s="84"/>
      <c r="BO743" s="84"/>
      <c r="BT743" s="84"/>
      <c r="BY743" s="84"/>
      <c r="CC743" s="84"/>
      <c r="CG743" s="84"/>
      <c r="CK743" s="85"/>
      <c r="CL743" s="85"/>
      <c r="CM743" s="84"/>
      <c r="CO743" s="84"/>
      <c r="CT743" s="84"/>
      <c r="CY743" s="84"/>
      <c r="DC743" s="84"/>
      <c r="DG743" s="84"/>
      <c r="DK743" s="84"/>
      <c r="DO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5"/>
      <c r="AM744" s="84"/>
      <c r="AN744" s="84"/>
      <c r="AP744" s="84"/>
      <c r="AU744" s="84"/>
      <c r="AY744" s="86"/>
      <c r="BE744" s="84"/>
      <c r="BJ744" s="84"/>
      <c r="BO744" s="84"/>
      <c r="BT744" s="84"/>
      <c r="BY744" s="84"/>
      <c r="CC744" s="84"/>
      <c r="CG744" s="84"/>
      <c r="CK744" s="85"/>
      <c r="CL744" s="85"/>
      <c r="CM744" s="84"/>
      <c r="CO744" s="84"/>
      <c r="CT744" s="84"/>
      <c r="CY744" s="84"/>
      <c r="DC744" s="84"/>
      <c r="DG744" s="84"/>
      <c r="DK744" s="84"/>
      <c r="DO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5"/>
      <c r="AM745" s="84"/>
      <c r="AN745" s="84"/>
      <c r="AP745" s="84"/>
      <c r="AU745" s="84"/>
      <c r="AY745" s="86"/>
      <c r="BE745" s="84"/>
      <c r="BJ745" s="84"/>
      <c r="BO745" s="84"/>
      <c r="BT745" s="84"/>
      <c r="BY745" s="84"/>
      <c r="CC745" s="84"/>
      <c r="CG745" s="84"/>
      <c r="CK745" s="85"/>
      <c r="CL745" s="85"/>
      <c r="CM745" s="84"/>
      <c r="CO745" s="84"/>
      <c r="CT745" s="84"/>
      <c r="CY745" s="84"/>
      <c r="DC745" s="84"/>
      <c r="DG745" s="84"/>
      <c r="DK745" s="84"/>
      <c r="DO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5"/>
      <c r="AM746" s="84"/>
      <c r="AN746" s="84"/>
      <c r="AP746" s="84"/>
      <c r="AU746" s="84"/>
      <c r="AY746" s="86"/>
      <c r="BE746" s="84"/>
      <c r="BJ746" s="84"/>
      <c r="BO746" s="84"/>
      <c r="BT746" s="84"/>
      <c r="BY746" s="84"/>
      <c r="CC746" s="84"/>
      <c r="CG746" s="84"/>
      <c r="CK746" s="85"/>
      <c r="CL746" s="85"/>
      <c r="CM746" s="84"/>
      <c r="CO746" s="84"/>
      <c r="CT746" s="84"/>
      <c r="CY746" s="84"/>
      <c r="DC746" s="84"/>
      <c r="DG746" s="84"/>
      <c r="DK746" s="84"/>
      <c r="DO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5"/>
      <c r="AM747" s="84"/>
      <c r="AN747" s="84"/>
      <c r="AP747" s="84"/>
      <c r="AU747" s="84"/>
      <c r="AY747" s="86"/>
      <c r="BE747" s="84"/>
      <c r="BJ747" s="84"/>
      <c r="BO747" s="84"/>
      <c r="BT747" s="84"/>
      <c r="BY747" s="84"/>
      <c r="CC747" s="84"/>
      <c r="CG747" s="84"/>
      <c r="CK747" s="85"/>
      <c r="CL747" s="85"/>
      <c r="CM747" s="84"/>
      <c r="CO747" s="84"/>
      <c r="CT747" s="84"/>
      <c r="CY747" s="84"/>
      <c r="DC747" s="84"/>
      <c r="DG747" s="84"/>
      <c r="DK747" s="84"/>
      <c r="DO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5"/>
      <c r="AM748" s="84"/>
      <c r="AN748" s="84"/>
      <c r="AP748" s="84"/>
      <c r="AU748" s="84"/>
      <c r="AY748" s="86"/>
      <c r="BE748" s="84"/>
      <c r="BJ748" s="84"/>
      <c r="BO748" s="84"/>
      <c r="BT748" s="84"/>
      <c r="BY748" s="84"/>
      <c r="CC748" s="84"/>
      <c r="CG748" s="84"/>
      <c r="CK748" s="85"/>
      <c r="CL748" s="85"/>
      <c r="CM748" s="84"/>
      <c r="CO748" s="84"/>
      <c r="CT748" s="84"/>
      <c r="CY748" s="84"/>
      <c r="DC748" s="84"/>
      <c r="DG748" s="84"/>
      <c r="DK748" s="84"/>
      <c r="DO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5"/>
      <c r="AM749" s="84"/>
      <c r="AN749" s="84"/>
      <c r="AP749" s="84"/>
      <c r="AU749" s="84"/>
      <c r="AY749" s="86"/>
      <c r="BE749" s="84"/>
      <c r="BJ749" s="84"/>
      <c r="BO749" s="84"/>
      <c r="BT749" s="84"/>
      <c r="BY749" s="84"/>
      <c r="CC749" s="84"/>
      <c r="CG749" s="84"/>
      <c r="CK749" s="85"/>
      <c r="CL749" s="85"/>
      <c r="CM749" s="84"/>
      <c r="CO749" s="84"/>
      <c r="CT749" s="84"/>
      <c r="CY749" s="84"/>
      <c r="DC749" s="84"/>
      <c r="DG749" s="84"/>
      <c r="DK749" s="84"/>
      <c r="DO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5"/>
      <c r="AM750" s="84"/>
      <c r="AN750" s="84"/>
      <c r="AP750" s="84"/>
      <c r="AU750" s="84"/>
      <c r="AY750" s="86"/>
      <c r="BE750" s="84"/>
      <c r="BJ750" s="84"/>
      <c r="BO750" s="84"/>
      <c r="BT750" s="84"/>
      <c r="BY750" s="84"/>
      <c r="CC750" s="84"/>
      <c r="CG750" s="84"/>
      <c r="CK750" s="85"/>
      <c r="CL750" s="85"/>
      <c r="CM750" s="84"/>
      <c r="CO750" s="84"/>
      <c r="CT750" s="84"/>
      <c r="CY750" s="84"/>
      <c r="DC750" s="84"/>
      <c r="DG750" s="84"/>
      <c r="DK750" s="84"/>
      <c r="DO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5"/>
      <c r="AM751" s="84"/>
      <c r="AN751" s="84"/>
      <c r="AP751" s="84"/>
      <c r="AU751" s="84"/>
      <c r="AY751" s="86"/>
      <c r="BE751" s="84"/>
      <c r="BJ751" s="84"/>
      <c r="BO751" s="84"/>
      <c r="BT751" s="84"/>
      <c r="BY751" s="84"/>
      <c r="CC751" s="84"/>
      <c r="CG751" s="84"/>
      <c r="CK751" s="85"/>
      <c r="CL751" s="85"/>
      <c r="CM751" s="84"/>
      <c r="CO751" s="84"/>
      <c r="CT751" s="84"/>
      <c r="CY751" s="84"/>
      <c r="DC751" s="84"/>
      <c r="DG751" s="84"/>
      <c r="DK751" s="84"/>
      <c r="DO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5"/>
      <c r="AM752" s="84"/>
      <c r="AN752" s="84"/>
      <c r="AP752" s="84"/>
      <c r="AU752" s="84"/>
      <c r="AY752" s="86"/>
      <c r="BE752" s="84"/>
      <c r="BJ752" s="84"/>
      <c r="BO752" s="84"/>
      <c r="BT752" s="84"/>
      <c r="BY752" s="84"/>
      <c r="CC752" s="84"/>
      <c r="CG752" s="84"/>
      <c r="CK752" s="85"/>
      <c r="CL752" s="85"/>
      <c r="CM752" s="84"/>
      <c r="CO752" s="84"/>
      <c r="CT752" s="84"/>
      <c r="CY752" s="84"/>
      <c r="DC752" s="84"/>
      <c r="DG752" s="84"/>
      <c r="DK752" s="84"/>
      <c r="DO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5"/>
      <c r="AM753" s="84"/>
      <c r="AN753" s="84"/>
      <c r="AP753" s="84"/>
      <c r="AU753" s="84"/>
      <c r="AY753" s="86"/>
      <c r="BE753" s="84"/>
      <c r="BJ753" s="84"/>
      <c r="BO753" s="84"/>
      <c r="BT753" s="84"/>
      <c r="BY753" s="84"/>
      <c r="CC753" s="84"/>
      <c r="CG753" s="84"/>
      <c r="CK753" s="85"/>
      <c r="CL753" s="85"/>
      <c r="CM753" s="84"/>
      <c r="CO753" s="84"/>
      <c r="CT753" s="84"/>
      <c r="CY753" s="84"/>
      <c r="DC753" s="84"/>
      <c r="DG753" s="84"/>
      <c r="DK753" s="84"/>
      <c r="DO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5"/>
      <c r="AM754" s="84"/>
      <c r="AN754" s="84"/>
      <c r="AP754" s="84"/>
      <c r="AU754" s="84"/>
      <c r="AY754" s="86"/>
      <c r="BE754" s="84"/>
      <c r="BJ754" s="84"/>
      <c r="BO754" s="84"/>
      <c r="BT754" s="84"/>
      <c r="BY754" s="84"/>
      <c r="CC754" s="84"/>
      <c r="CG754" s="84"/>
      <c r="CK754" s="85"/>
      <c r="CL754" s="85"/>
      <c r="CM754" s="84"/>
      <c r="CO754" s="84"/>
      <c r="CT754" s="84"/>
      <c r="CY754" s="84"/>
      <c r="DC754" s="84"/>
      <c r="DG754" s="84"/>
      <c r="DK754" s="84"/>
      <c r="DO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5"/>
      <c r="AM755" s="84"/>
      <c r="AN755" s="84"/>
      <c r="AP755" s="84"/>
      <c r="AU755" s="84"/>
      <c r="AY755" s="86"/>
      <c r="BE755" s="84"/>
      <c r="BJ755" s="84"/>
      <c r="BO755" s="84"/>
      <c r="BT755" s="84"/>
      <c r="BY755" s="84"/>
      <c r="CC755" s="84"/>
      <c r="CG755" s="84"/>
      <c r="CK755" s="85"/>
      <c r="CL755" s="85"/>
      <c r="CM755" s="84"/>
      <c r="CO755" s="84"/>
      <c r="CT755" s="84"/>
      <c r="CY755" s="84"/>
      <c r="DC755" s="84"/>
      <c r="DG755" s="84"/>
      <c r="DK755" s="84"/>
      <c r="DO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5"/>
      <c r="AM756" s="84"/>
      <c r="AN756" s="84"/>
      <c r="AP756" s="84"/>
      <c r="AU756" s="84"/>
      <c r="AY756" s="86"/>
      <c r="BE756" s="84"/>
      <c r="BJ756" s="84"/>
      <c r="BO756" s="84"/>
      <c r="BT756" s="84"/>
      <c r="BY756" s="84"/>
      <c r="CC756" s="84"/>
      <c r="CG756" s="84"/>
      <c r="CK756" s="85"/>
      <c r="CL756" s="85"/>
      <c r="CM756" s="84"/>
      <c r="CO756" s="84"/>
      <c r="CT756" s="84"/>
      <c r="CY756" s="84"/>
      <c r="DC756" s="84"/>
      <c r="DG756" s="84"/>
      <c r="DK756" s="84"/>
      <c r="DO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5"/>
      <c r="AM757" s="84"/>
      <c r="AN757" s="84"/>
      <c r="AP757" s="84"/>
      <c r="AU757" s="84"/>
      <c r="AY757" s="86"/>
      <c r="BE757" s="84"/>
      <c r="BJ757" s="84"/>
      <c r="BO757" s="84"/>
      <c r="BT757" s="84"/>
      <c r="BY757" s="84"/>
      <c r="CC757" s="84"/>
      <c r="CG757" s="84"/>
      <c r="CK757" s="85"/>
      <c r="CL757" s="85"/>
      <c r="CM757" s="84"/>
      <c r="CO757" s="84"/>
      <c r="CT757" s="84"/>
      <c r="CY757" s="84"/>
      <c r="DC757" s="84"/>
      <c r="DG757" s="84"/>
      <c r="DK757" s="84"/>
      <c r="DO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5"/>
      <c r="AM758" s="84"/>
      <c r="AN758" s="84"/>
      <c r="AP758" s="84"/>
      <c r="AU758" s="84"/>
      <c r="AY758" s="86"/>
      <c r="BE758" s="84"/>
      <c r="BJ758" s="84"/>
      <c r="BO758" s="84"/>
      <c r="BT758" s="84"/>
      <c r="BY758" s="84"/>
      <c r="CC758" s="84"/>
      <c r="CG758" s="84"/>
      <c r="CK758" s="85"/>
      <c r="CL758" s="85"/>
      <c r="CM758" s="84"/>
      <c r="CO758" s="84"/>
      <c r="CT758" s="84"/>
      <c r="CY758" s="84"/>
      <c r="DC758" s="84"/>
      <c r="DG758" s="84"/>
      <c r="DK758" s="84"/>
      <c r="DO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5"/>
      <c r="AM759" s="84"/>
      <c r="AN759" s="84"/>
      <c r="AP759" s="84"/>
      <c r="AU759" s="84"/>
      <c r="AY759" s="86"/>
      <c r="BE759" s="84"/>
      <c r="BJ759" s="84"/>
      <c r="BO759" s="84"/>
      <c r="BT759" s="84"/>
      <c r="BY759" s="84"/>
      <c r="CC759" s="84"/>
      <c r="CG759" s="84"/>
      <c r="CK759" s="85"/>
      <c r="CL759" s="85"/>
      <c r="CM759" s="84"/>
      <c r="CO759" s="84"/>
      <c r="CT759" s="84"/>
      <c r="CY759" s="84"/>
      <c r="DC759" s="84"/>
      <c r="DG759" s="84"/>
      <c r="DK759" s="84"/>
      <c r="DO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5"/>
      <c r="AM760" s="84"/>
      <c r="AN760" s="84"/>
      <c r="AP760" s="84"/>
      <c r="AU760" s="84"/>
      <c r="AY760" s="86"/>
      <c r="BE760" s="84"/>
      <c r="BJ760" s="84"/>
      <c r="BO760" s="84"/>
      <c r="BT760" s="84"/>
      <c r="BY760" s="84"/>
      <c r="CC760" s="84"/>
      <c r="CG760" s="84"/>
      <c r="CK760" s="85"/>
      <c r="CL760" s="85"/>
      <c r="CM760" s="84"/>
      <c r="CO760" s="84"/>
      <c r="CT760" s="84"/>
      <c r="CY760" s="84"/>
      <c r="DC760" s="84"/>
      <c r="DG760" s="84"/>
      <c r="DK760" s="84"/>
      <c r="DO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5"/>
      <c r="AM761" s="84"/>
      <c r="AN761" s="84"/>
      <c r="AP761" s="84"/>
      <c r="AU761" s="84"/>
      <c r="AY761" s="86"/>
      <c r="BE761" s="84"/>
      <c r="BJ761" s="84"/>
      <c r="BO761" s="84"/>
      <c r="BT761" s="84"/>
      <c r="BY761" s="84"/>
      <c r="CC761" s="84"/>
      <c r="CG761" s="84"/>
      <c r="CK761" s="85"/>
      <c r="CL761" s="85"/>
      <c r="CM761" s="84"/>
      <c r="CO761" s="84"/>
      <c r="CT761" s="84"/>
      <c r="CY761" s="84"/>
      <c r="DC761" s="84"/>
      <c r="DG761" s="84"/>
      <c r="DK761" s="84"/>
      <c r="DO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5"/>
      <c r="AM762" s="84"/>
      <c r="AN762" s="84"/>
      <c r="AP762" s="84"/>
      <c r="AU762" s="84"/>
      <c r="AY762" s="86"/>
      <c r="BE762" s="84"/>
      <c r="BJ762" s="84"/>
      <c r="BO762" s="84"/>
      <c r="BT762" s="84"/>
      <c r="BY762" s="84"/>
      <c r="CC762" s="84"/>
      <c r="CG762" s="84"/>
      <c r="CK762" s="85"/>
      <c r="CL762" s="85"/>
      <c r="CM762" s="84"/>
      <c r="CO762" s="84"/>
      <c r="CT762" s="84"/>
      <c r="CY762" s="84"/>
      <c r="DC762" s="84"/>
      <c r="DG762" s="84"/>
      <c r="DK762" s="84"/>
      <c r="DO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5"/>
      <c r="AM763" s="84"/>
      <c r="AN763" s="84"/>
      <c r="AP763" s="84"/>
      <c r="AU763" s="84"/>
      <c r="AY763" s="86"/>
      <c r="BE763" s="84"/>
      <c r="BJ763" s="84"/>
      <c r="BO763" s="84"/>
      <c r="BT763" s="84"/>
      <c r="BY763" s="84"/>
      <c r="CC763" s="84"/>
      <c r="CG763" s="84"/>
      <c r="CK763" s="85"/>
      <c r="CL763" s="85"/>
      <c r="CM763" s="84"/>
      <c r="CO763" s="84"/>
      <c r="CT763" s="84"/>
      <c r="CY763" s="84"/>
      <c r="DC763" s="84"/>
      <c r="DG763" s="84"/>
      <c r="DK763" s="84"/>
      <c r="DO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5"/>
      <c r="AM764" s="84"/>
      <c r="AN764" s="84"/>
      <c r="AP764" s="84"/>
      <c r="AU764" s="84"/>
      <c r="AY764" s="86"/>
      <c r="BE764" s="84"/>
      <c r="BJ764" s="84"/>
      <c r="BO764" s="84"/>
      <c r="BT764" s="84"/>
      <c r="BY764" s="84"/>
      <c r="CC764" s="84"/>
      <c r="CG764" s="84"/>
      <c r="CK764" s="85"/>
      <c r="CL764" s="85"/>
      <c r="CM764" s="84"/>
      <c r="CO764" s="84"/>
      <c r="CT764" s="84"/>
      <c r="CY764" s="84"/>
      <c r="DC764" s="84"/>
      <c r="DG764" s="84"/>
      <c r="DK764" s="84"/>
      <c r="DO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5"/>
      <c r="AM765" s="84"/>
      <c r="AN765" s="84"/>
      <c r="AP765" s="84"/>
      <c r="AU765" s="84"/>
      <c r="AY765" s="86"/>
      <c r="BE765" s="84"/>
      <c r="BJ765" s="84"/>
      <c r="BO765" s="84"/>
      <c r="BT765" s="84"/>
      <c r="BY765" s="84"/>
      <c r="CC765" s="84"/>
      <c r="CG765" s="84"/>
      <c r="CK765" s="85"/>
      <c r="CL765" s="85"/>
      <c r="CM765" s="84"/>
      <c r="CO765" s="84"/>
      <c r="CT765" s="84"/>
      <c r="CY765" s="84"/>
      <c r="DC765" s="84"/>
      <c r="DG765" s="84"/>
      <c r="DK765" s="84"/>
      <c r="DO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5"/>
      <c r="AM766" s="84"/>
      <c r="AN766" s="84"/>
      <c r="AP766" s="84"/>
      <c r="AU766" s="84"/>
      <c r="AY766" s="86"/>
      <c r="BE766" s="84"/>
      <c r="BJ766" s="84"/>
      <c r="BO766" s="84"/>
      <c r="BT766" s="84"/>
      <c r="BY766" s="84"/>
      <c r="CC766" s="84"/>
      <c r="CG766" s="84"/>
      <c r="CK766" s="85"/>
      <c r="CL766" s="85"/>
      <c r="CM766" s="84"/>
      <c r="CO766" s="84"/>
      <c r="CT766" s="84"/>
      <c r="CY766" s="84"/>
      <c r="DC766" s="84"/>
      <c r="DG766" s="84"/>
      <c r="DK766" s="84"/>
      <c r="DO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5"/>
      <c r="AM767" s="84"/>
      <c r="AN767" s="84"/>
      <c r="AP767" s="84"/>
      <c r="AU767" s="84"/>
      <c r="AY767" s="86"/>
      <c r="BE767" s="84"/>
      <c r="BJ767" s="84"/>
      <c r="BO767" s="84"/>
      <c r="BT767" s="84"/>
      <c r="BY767" s="84"/>
      <c r="CC767" s="84"/>
      <c r="CG767" s="84"/>
      <c r="CK767" s="85"/>
      <c r="CL767" s="85"/>
      <c r="CM767" s="84"/>
      <c r="CO767" s="84"/>
      <c r="CT767" s="84"/>
      <c r="CY767" s="84"/>
      <c r="DC767" s="84"/>
      <c r="DG767" s="84"/>
      <c r="DK767" s="84"/>
      <c r="DO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5"/>
      <c r="AM768" s="84"/>
      <c r="AN768" s="84"/>
      <c r="AP768" s="84"/>
      <c r="AU768" s="84"/>
      <c r="AY768" s="86"/>
      <c r="BE768" s="84"/>
      <c r="BJ768" s="84"/>
      <c r="BO768" s="84"/>
      <c r="BT768" s="84"/>
      <c r="BY768" s="84"/>
      <c r="CC768" s="84"/>
      <c r="CG768" s="84"/>
      <c r="CK768" s="85"/>
      <c r="CL768" s="85"/>
      <c r="CM768" s="84"/>
      <c r="CO768" s="84"/>
      <c r="CT768" s="84"/>
      <c r="CY768" s="84"/>
      <c r="DC768" s="84"/>
      <c r="DG768" s="84"/>
      <c r="DK768" s="84"/>
      <c r="DO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5"/>
      <c r="AM769" s="84"/>
      <c r="AN769" s="84"/>
      <c r="AP769" s="84"/>
      <c r="AU769" s="84"/>
      <c r="AY769" s="86"/>
      <c r="BE769" s="84"/>
      <c r="BJ769" s="84"/>
      <c r="BO769" s="84"/>
      <c r="BT769" s="84"/>
      <c r="BY769" s="84"/>
      <c r="CC769" s="84"/>
      <c r="CG769" s="84"/>
      <c r="CK769" s="85"/>
      <c r="CL769" s="85"/>
      <c r="CM769" s="84"/>
      <c r="CO769" s="84"/>
      <c r="CT769" s="84"/>
      <c r="CY769" s="84"/>
      <c r="DC769" s="84"/>
      <c r="DG769" s="84"/>
      <c r="DK769" s="84"/>
      <c r="DO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5"/>
      <c r="AM770" s="84"/>
      <c r="AN770" s="84"/>
      <c r="AP770" s="84"/>
      <c r="AU770" s="84"/>
      <c r="AY770" s="86"/>
      <c r="BE770" s="84"/>
      <c r="BJ770" s="84"/>
      <c r="BO770" s="84"/>
      <c r="BT770" s="84"/>
      <c r="BY770" s="84"/>
      <c r="CC770" s="84"/>
      <c r="CG770" s="84"/>
      <c r="CK770" s="85"/>
      <c r="CL770" s="85"/>
      <c r="CM770" s="84"/>
      <c r="CO770" s="84"/>
      <c r="CT770" s="84"/>
      <c r="CY770" s="84"/>
      <c r="DC770" s="84"/>
      <c r="DG770" s="84"/>
      <c r="DK770" s="84"/>
      <c r="DO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5"/>
      <c r="AM771" s="84"/>
      <c r="AN771" s="84"/>
      <c r="AP771" s="84"/>
      <c r="AU771" s="84"/>
      <c r="AY771" s="86"/>
      <c r="BE771" s="84"/>
      <c r="BJ771" s="84"/>
      <c r="BO771" s="84"/>
      <c r="BT771" s="84"/>
      <c r="BY771" s="84"/>
      <c r="CC771" s="84"/>
      <c r="CG771" s="84"/>
      <c r="CK771" s="85"/>
      <c r="CL771" s="85"/>
      <c r="CM771" s="84"/>
      <c r="CO771" s="84"/>
      <c r="CT771" s="84"/>
      <c r="CY771" s="84"/>
      <c r="DC771" s="84"/>
      <c r="DG771" s="84"/>
      <c r="DK771" s="84"/>
      <c r="DO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5"/>
      <c r="AM772" s="84"/>
      <c r="AN772" s="84"/>
      <c r="AP772" s="84"/>
      <c r="AU772" s="84"/>
      <c r="AY772" s="86"/>
      <c r="BE772" s="84"/>
      <c r="BJ772" s="84"/>
      <c r="BO772" s="84"/>
      <c r="BT772" s="84"/>
      <c r="BY772" s="84"/>
      <c r="CC772" s="84"/>
      <c r="CG772" s="84"/>
      <c r="CK772" s="85"/>
      <c r="CL772" s="85"/>
      <c r="CM772" s="84"/>
      <c r="CO772" s="84"/>
      <c r="CT772" s="84"/>
      <c r="CY772" s="84"/>
      <c r="DC772" s="84"/>
      <c r="DG772" s="84"/>
      <c r="DK772" s="84"/>
      <c r="DO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5"/>
      <c r="AM773" s="84"/>
      <c r="AN773" s="84"/>
      <c r="AP773" s="84"/>
      <c r="AU773" s="84"/>
      <c r="AY773" s="86"/>
      <c r="BE773" s="84"/>
      <c r="BJ773" s="84"/>
      <c r="BO773" s="84"/>
      <c r="BT773" s="84"/>
      <c r="BY773" s="84"/>
      <c r="CC773" s="84"/>
      <c r="CG773" s="84"/>
      <c r="CK773" s="85"/>
      <c r="CL773" s="85"/>
      <c r="CM773" s="84"/>
      <c r="CO773" s="84"/>
      <c r="CT773" s="84"/>
      <c r="CY773" s="84"/>
      <c r="DC773" s="84"/>
      <c r="DG773" s="84"/>
      <c r="DK773" s="84"/>
      <c r="DO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5"/>
      <c r="AM774" s="84"/>
      <c r="AN774" s="84"/>
      <c r="AP774" s="84"/>
      <c r="AU774" s="84"/>
      <c r="AY774" s="86"/>
      <c r="BE774" s="84"/>
      <c r="BJ774" s="84"/>
      <c r="BO774" s="84"/>
      <c r="BT774" s="84"/>
      <c r="BY774" s="84"/>
      <c r="CC774" s="84"/>
      <c r="CG774" s="84"/>
      <c r="CK774" s="85"/>
      <c r="CL774" s="85"/>
      <c r="CM774" s="84"/>
      <c r="CO774" s="84"/>
      <c r="CT774" s="84"/>
      <c r="CY774" s="84"/>
      <c r="DC774" s="84"/>
      <c r="DG774" s="84"/>
      <c r="DK774" s="84"/>
      <c r="DO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5"/>
      <c r="AM775" s="84"/>
      <c r="AN775" s="84"/>
      <c r="AP775" s="84"/>
      <c r="AU775" s="84"/>
      <c r="AY775" s="86"/>
      <c r="BE775" s="84"/>
      <c r="BJ775" s="84"/>
      <c r="BO775" s="84"/>
      <c r="BT775" s="84"/>
      <c r="BY775" s="84"/>
      <c r="CC775" s="84"/>
      <c r="CG775" s="84"/>
      <c r="CK775" s="85"/>
      <c r="CL775" s="85"/>
      <c r="CM775" s="84"/>
      <c r="CO775" s="84"/>
      <c r="CT775" s="84"/>
      <c r="CY775" s="84"/>
      <c r="DC775" s="84"/>
      <c r="DG775" s="84"/>
      <c r="DK775" s="84"/>
      <c r="DO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5"/>
      <c r="AM776" s="84"/>
      <c r="AN776" s="84"/>
      <c r="AP776" s="84"/>
      <c r="AU776" s="84"/>
      <c r="AY776" s="86"/>
      <c r="BE776" s="84"/>
      <c r="BJ776" s="84"/>
      <c r="BO776" s="84"/>
      <c r="BT776" s="84"/>
      <c r="BY776" s="84"/>
      <c r="CC776" s="84"/>
      <c r="CG776" s="84"/>
      <c r="CK776" s="85"/>
      <c r="CL776" s="85"/>
      <c r="CM776" s="84"/>
      <c r="CO776" s="84"/>
      <c r="CT776" s="84"/>
      <c r="CY776" s="84"/>
      <c r="DC776" s="84"/>
      <c r="DG776" s="84"/>
      <c r="DK776" s="84"/>
      <c r="DO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5"/>
      <c r="AM777" s="84"/>
      <c r="AN777" s="84"/>
      <c r="AP777" s="84"/>
      <c r="AU777" s="84"/>
      <c r="AY777" s="86"/>
      <c r="BE777" s="84"/>
      <c r="BJ777" s="84"/>
      <c r="BO777" s="84"/>
      <c r="BT777" s="84"/>
      <c r="BY777" s="84"/>
      <c r="CC777" s="84"/>
      <c r="CG777" s="84"/>
      <c r="CK777" s="85"/>
      <c r="CL777" s="85"/>
      <c r="CM777" s="84"/>
      <c r="CO777" s="84"/>
      <c r="CT777" s="84"/>
      <c r="CY777" s="84"/>
      <c r="DC777" s="84"/>
      <c r="DG777" s="84"/>
      <c r="DK777" s="84"/>
      <c r="DO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5"/>
      <c r="AM778" s="84"/>
      <c r="AN778" s="84"/>
      <c r="AP778" s="84"/>
      <c r="AU778" s="84"/>
      <c r="AY778" s="86"/>
      <c r="BE778" s="84"/>
      <c r="BJ778" s="84"/>
      <c r="BO778" s="84"/>
      <c r="BT778" s="84"/>
      <c r="BY778" s="84"/>
      <c r="CC778" s="84"/>
      <c r="CG778" s="84"/>
      <c r="CK778" s="85"/>
      <c r="CL778" s="85"/>
      <c r="CM778" s="84"/>
      <c r="CO778" s="84"/>
      <c r="CT778" s="84"/>
      <c r="CY778" s="84"/>
      <c r="DC778" s="84"/>
      <c r="DG778" s="84"/>
      <c r="DK778" s="84"/>
      <c r="DO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5"/>
      <c r="AM779" s="84"/>
      <c r="AN779" s="84"/>
      <c r="AP779" s="84"/>
      <c r="AU779" s="84"/>
      <c r="AY779" s="86"/>
      <c r="BE779" s="84"/>
      <c r="BJ779" s="84"/>
      <c r="BO779" s="84"/>
      <c r="BT779" s="84"/>
      <c r="BY779" s="84"/>
      <c r="CC779" s="84"/>
      <c r="CG779" s="84"/>
      <c r="CK779" s="85"/>
      <c r="CL779" s="85"/>
      <c r="CM779" s="84"/>
      <c r="CO779" s="84"/>
      <c r="CT779" s="84"/>
      <c r="CY779" s="84"/>
      <c r="DC779" s="84"/>
      <c r="DG779" s="84"/>
      <c r="DK779" s="84"/>
      <c r="DO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5"/>
      <c r="AM780" s="84"/>
      <c r="AN780" s="84"/>
      <c r="AP780" s="84"/>
      <c r="AU780" s="84"/>
      <c r="AY780" s="86"/>
      <c r="BE780" s="84"/>
      <c r="BJ780" s="84"/>
      <c r="BO780" s="84"/>
      <c r="BT780" s="84"/>
      <c r="BY780" s="84"/>
      <c r="CC780" s="84"/>
      <c r="CG780" s="84"/>
      <c r="CK780" s="85"/>
      <c r="CL780" s="85"/>
      <c r="CM780" s="84"/>
      <c r="CO780" s="84"/>
      <c r="CT780" s="84"/>
      <c r="CY780" s="84"/>
      <c r="DC780" s="84"/>
      <c r="DG780" s="84"/>
      <c r="DK780" s="84"/>
      <c r="DO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5"/>
      <c r="AM781" s="84"/>
      <c r="AN781" s="84"/>
      <c r="AP781" s="84"/>
      <c r="AU781" s="84"/>
      <c r="AY781" s="86"/>
      <c r="BE781" s="84"/>
      <c r="BJ781" s="84"/>
      <c r="BO781" s="84"/>
      <c r="BT781" s="84"/>
      <c r="BY781" s="84"/>
      <c r="CC781" s="84"/>
      <c r="CG781" s="84"/>
      <c r="CK781" s="85"/>
      <c r="CL781" s="85"/>
      <c r="CM781" s="84"/>
      <c r="CO781" s="84"/>
      <c r="CT781" s="84"/>
      <c r="CY781" s="84"/>
      <c r="DC781" s="84"/>
      <c r="DG781" s="84"/>
      <c r="DK781" s="84"/>
      <c r="DO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5"/>
      <c r="AM782" s="84"/>
      <c r="AN782" s="84"/>
      <c r="AP782" s="84"/>
      <c r="AU782" s="84"/>
      <c r="AY782" s="86"/>
      <c r="BE782" s="84"/>
      <c r="BJ782" s="84"/>
      <c r="BO782" s="84"/>
      <c r="BT782" s="84"/>
      <c r="BY782" s="84"/>
      <c r="CC782" s="84"/>
      <c r="CG782" s="84"/>
      <c r="CK782" s="85"/>
      <c r="CL782" s="85"/>
      <c r="CM782" s="84"/>
      <c r="CO782" s="84"/>
      <c r="CT782" s="84"/>
      <c r="CY782" s="84"/>
      <c r="DC782" s="84"/>
      <c r="DG782" s="84"/>
      <c r="DK782" s="84"/>
      <c r="DO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5"/>
      <c r="AM783" s="84"/>
      <c r="AN783" s="84"/>
      <c r="AP783" s="84"/>
      <c r="AU783" s="84"/>
      <c r="AY783" s="86"/>
      <c r="BE783" s="84"/>
      <c r="BJ783" s="84"/>
      <c r="BO783" s="84"/>
      <c r="BT783" s="84"/>
      <c r="BY783" s="84"/>
      <c r="CC783" s="84"/>
      <c r="CG783" s="84"/>
      <c r="CK783" s="85"/>
      <c r="CL783" s="85"/>
      <c r="CM783" s="84"/>
      <c r="CO783" s="84"/>
      <c r="CT783" s="84"/>
      <c r="CY783" s="84"/>
      <c r="DC783" s="84"/>
      <c r="DG783" s="84"/>
      <c r="DK783" s="84"/>
      <c r="DO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5"/>
      <c r="AM784" s="84"/>
      <c r="AN784" s="84"/>
      <c r="AP784" s="84"/>
      <c r="AU784" s="84"/>
      <c r="AY784" s="86"/>
      <c r="BE784" s="84"/>
      <c r="BJ784" s="84"/>
      <c r="BO784" s="84"/>
      <c r="BT784" s="84"/>
      <c r="BY784" s="84"/>
      <c r="CC784" s="84"/>
      <c r="CG784" s="84"/>
      <c r="CK784" s="85"/>
      <c r="CL784" s="85"/>
      <c r="CM784" s="84"/>
      <c r="CO784" s="84"/>
      <c r="CT784" s="84"/>
      <c r="CY784" s="84"/>
      <c r="DC784" s="84"/>
      <c r="DG784" s="84"/>
      <c r="DK784" s="84"/>
      <c r="DO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5"/>
      <c r="AM785" s="84"/>
      <c r="AN785" s="84"/>
      <c r="AP785" s="84"/>
      <c r="AU785" s="84"/>
      <c r="AY785" s="86"/>
      <c r="BE785" s="84"/>
      <c r="BJ785" s="84"/>
      <c r="BO785" s="84"/>
      <c r="BT785" s="84"/>
      <c r="BY785" s="84"/>
      <c r="CC785" s="84"/>
      <c r="CG785" s="84"/>
      <c r="CK785" s="85"/>
      <c r="CL785" s="85"/>
      <c r="CM785" s="84"/>
      <c r="CO785" s="84"/>
      <c r="CT785" s="84"/>
      <c r="CY785" s="84"/>
      <c r="DC785" s="84"/>
      <c r="DG785" s="84"/>
      <c r="DK785" s="84"/>
      <c r="DO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5"/>
      <c r="AM786" s="84"/>
      <c r="AN786" s="84"/>
      <c r="AP786" s="84"/>
      <c r="AU786" s="84"/>
      <c r="AY786" s="86"/>
      <c r="BE786" s="84"/>
      <c r="BJ786" s="84"/>
      <c r="BO786" s="84"/>
      <c r="BT786" s="84"/>
      <c r="BY786" s="84"/>
      <c r="CC786" s="84"/>
      <c r="CG786" s="84"/>
      <c r="CK786" s="85"/>
      <c r="CL786" s="85"/>
      <c r="CM786" s="84"/>
      <c r="CO786" s="84"/>
      <c r="CT786" s="84"/>
      <c r="CY786" s="84"/>
      <c r="DC786" s="84"/>
      <c r="DG786" s="84"/>
      <c r="DK786" s="84"/>
      <c r="DO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5"/>
      <c r="AM787" s="84"/>
      <c r="AN787" s="84"/>
      <c r="AP787" s="84"/>
      <c r="AU787" s="84"/>
      <c r="AY787" s="86"/>
      <c r="BE787" s="84"/>
      <c r="BJ787" s="84"/>
      <c r="BO787" s="84"/>
      <c r="BT787" s="84"/>
      <c r="BY787" s="84"/>
      <c r="CC787" s="84"/>
      <c r="CG787" s="84"/>
      <c r="CK787" s="85"/>
      <c r="CL787" s="85"/>
      <c r="CM787" s="84"/>
      <c r="CO787" s="84"/>
      <c r="CT787" s="84"/>
      <c r="CY787" s="84"/>
      <c r="DC787" s="84"/>
      <c r="DG787" s="84"/>
      <c r="DK787" s="84"/>
      <c r="DO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5"/>
      <c r="AM788" s="84"/>
      <c r="AN788" s="84"/>
      <c r="AP788" s="84"/>
      <c r="AU788" s="84"/>
      <c r="AY788" s="86"/>
      <c r="BE788" s="84"/>
      <c r="BJ788" s="84"/>
      <c r="BO788" s="84"/>
      <c r="BT788" s="84"/>
      <c r="BY788" s="84"/>
      <c r="CC788" s="84"/>
      <c r="CG788" s="84"/>
      <c r="CK788" s="85"/>
      <c r="CL788" s="85"/>
      <c r="CM788" s="84"/>
      <c r="CO788" s="84"/>
      <c r="CT788" s="84"/>
      <c r="CY788" s="84"/>
      <c r="DC788" s="84"/>
      <c r="DG788" s="84"/>
      <c r="DK788" s="84"/>
      <c r="DO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5"/>
      <c r="AM789" s="84"/>
      <c r="AN789" s="84"/>
      <c r="AP789" s="84"/>
      <c r="AU789" s="84"/>
      <c r="AY789" s="86"/>
      <c r="BE789" s="84"/>
      <c r="BJ789" s="84"/>
      <c r="BO789" s="84"/>
      <c r="BT789" s="84"/>
      <c r="BY789" s="84"/>
      <c r="CC789" s="84"/>
      <c r="CG789" s="84"/>
      <c r="CK789" s="85"/>
      <c r="CL789" s="85"/>
      <c r="CM789" s="84"/>
      <c r="CO789" s="84"/>
      <c r="CT789" s="84"/>
      <c r="CY789" s="84"/>
      <c r="DC789" s="84"/>
      <c r="DG789" s="84"/>
      <c r="DK789" s="84"/>
      <c r="DO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5"/>
      <c r="AM790" s="84"/>
      <c r="AN790" s="84"/>
      <c r="AP790" s="84"/>
      <c r="AU790" s="84"/>
      <c r="AY790" s="86"/>
      <c r="BE790" s="84"/>
      <c r="BJ790" s="84"/>
      <c r="BO790" s="84"/>
      <c r="BT790" s="84"/>
      <c r="BY790" s="84"/>
      <c r="CC790" s="84"/>
      <c r="CG790" s="84"/>
      <c r="CK790" s="85"/>
      <c r="CL790" s="85"/>
      <c r="CM790" s="84"/>
      <c r="CO790" s="84"/>
      <c r="CT790" s="84"/>
      <c r="CY790" s="84"/>
      <c r="DC790" s="84"/>
      <c r="DG790" s="84"/>
      <c r="DK790" s="84"/>
      <c r="DO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5"/>
      <c r="AM791" s="84"/>
      <c r="AN791" s="84"/>
      <c r="AP791" s="84"/>
      <c r="AU791" s="84"/>
      <c r="AY791" s="86"/>
      <c r="BE791" s="84"/>
      <c r="BJ791" s="84"/>
      <c r="BO791" s="84"/>
      <c r="BT791" s="84"/>
      <c r="BY791" s="84"/>
      <c r="CC791" s="84"/>
      <c r="CG791" s="84"/>
      <c r="CK791" s="85"/>
      <c r="CL791" s="85"/>
      <c r="CM791" s="84"/>
      <c r="CO791" s="84"/>
      <c r="CT791" s="84"/>
      <c r="CY791" s="84"/>
      <c r="DC791" s="84"/>
      <c r="DG791" s="84"/>
      <c r="DK791" s="84"/>
      <c r="DO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5"/>
      <c r="AM792" s="84"/>
      <c r="AN792" s="84"/>
      <c r="AP792" s="84"/>
      <c r="AU792" s="84"/>
      <c r="AY792" s="86"/>
      <c r="BE792" s="84"/>
      <c r="BJ792" s="84"/>
      <c r="BO792" s="84"/>
      <c r="BT792" s="84"/>
      <c r="BY792" s="84"/>
      <c r="CC792" s="84"/>
      <c r="CG792" s="84"/>
      <c r="CK792" s="85"/>
      <c r="CL792" s="85"/>
      <c r="CM792" s="84"/>
      <c r="CO792" s="84"/>
      <c r="CT792" s="84"/>
      <c r="CY792" s="84"/>
      <c r="DC792" s="84"/>
      <c r="DG792" s="84"/>
      <c r="DK792" s="84"/>
      <c r="DO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5"/>
      <c r="AM793" s="84"/>
      <c r="AN793" s="84"/>
      <c r="AP793" s="84"/>
      <c r="AU793" s="84"/>
      <c r="AY793" s="86"/>
      <c r="BE793" s="84"/>
      <c r="BJ793" s="84"/>
      <c r="BO793" s="84"/>
      <c r="BT793" s="84"/>
      <c r="BY793" s="84"/>
      <c r="CC793" s="84"/>
      <c r="CG793" s="84"/>
      <c r="CK793" s="85"/>
      <c r="CL793" s="85"/>
      <c r="CM793" s="84"/>
      <c r="CO793" s="84"/>
      <c r="CT793" s="84"/>
      <c r="CY793" s="84"/>
      <c r="DC793" s="84"/>
      <c r="DG793" s="84"/>
      <c r="DK793" s="84"/>
      <c r="DO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5"/>
      <c r="AM794" s="84"/>
      <c r="AN794" s="84"/>
      <c r="AP794" s="84"/>
      <c r="AU794" s="84"/>
      <c r="AY794" s="86"/>
      <c r="BE794" s="84"/>
      <c r="BJ794" s="84"/>
      <c r="BO794" s="84"/>
      <c r="BT794" s="84"/>
      <c r="BY794" s="84"/>
      <c r="CC794" s="84"/>
      <c r="CG794" s="84"/>
      <c r="CK794" s="85"/>
      <c r="CL794" s="85"/>
      <c r="CM794" s="84"/>
      <c r="CO794" s="84"/>
      <c r="CT794" s="84"/>
      <c r="CY794" s="84"/>
      <c r="DC794" s="84"/>
      <c r="DG794" s="84"/>
      <c r="DK794" s="84"/>
      <c r="DO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5"/>
      <c r="AM795" s="84"/>
      <c r="AN795" s="84"/>
      <c r="AP795" s="84"/>
      <c r="AU795" s="84"/>
      <c r="AY795" s="86"/>
      <c r="BE795" s="84"/>
      <c r="BJ795" s="84"/>
      <c r="BO795" s="84"/>
      <c r="BT795" s="84"/>
      <c r="BY795" s="84"/>
      <c r="CC795" s="84"/>
      <c r="CG795" s="84"/>
      <c r="CK795" s="85"/>
      <c r="CL795" s="85"/>
      <c r="CM795" s="84"/>
      <c r="CO795" s="84"/>
      <c r="CT795" s="84"/>
      <c r="CY795" s="84"/>
      <c r="DC795" s="84"/>
      <c r="DG795" s="84"/>
      <c r="DK795" s="84"/>
      <c r="DO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5"/>
      <c r="AM796" s="84"/>
      <c r="AN796" s="84"/>
      <c r="AP796" s="84"/>
      <c r="AU796" s="84"/>
      <c r="AY796" s="86"/>
      <c r="BE796" s="84"/>
      <c r="BJ796" s="84"/>
      <c r="BO796" s="84"/>
      <c r="BT796" s="84"/>
      <c r="BY796" s="84"/>
      <c r="CC796" s="84"/>
      <c r="CG796" s="84"/>
      <c r="CK796" s="85"/>
      <c r="CL796" s="85"/>
      <c r="CM796" s="84"/>
      <c r="CO796" s="84"/>
      <c r="CT796" s="84"/>
      <c r="CY796" s="84"/>
      <c r="DC796" s="84"/>
      <c r="DG796" s="84"/>
      <c r="DK796" s="84"/>
      <c r="DO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5"/>
      <c r="AM797" s="84"/>
      <c r="AN797" s="84"/>
      <c r="AP797" s="84"/>
      <c r="AU797" s="84"/>
      <c r="AY797" s="86"/>
      <c r="BE797" s="84"/>
      <c r="BJ797" s="84"/>
      <c r="BO797" s="84"/>
      <c r="BT797" s="84"/>
      <c r="BY797" s="84"/>
      <c r="CC797" s="84"/>
      <c r="CG797" s="84"/>
      <c r="CK797" s="85"/>
      <c r="CL797" s="85"/>
      <c r="CM797" s="84"/>
      <c r="CO797" s="84"/>
      <c r="CT797" s="84"/>
      <c r="CY797" s="84"/>
      <c r="DC797" s="84"/>
      <c r="DG797" s="84"/>
      <c r="DK797" s="84"/>
      <c r="DO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5"/>
      <c r="AM798" s="84"/>
      <c r="AN798" s="84"/>
      <c r="AP798" s="84"/>
      <c r="AU798" s="84"/>
      <c r="AY798" s="86"/>
      <c r="BE798" s="84"/>
      <c r="BJ798" s="84"/>
      <c r="BO798" s="84"/>
      <c r="BT798" s="84"/>
      <c r="BY798" s="84"/>
      <c r="CC798" s="84"/>
      <c r="CG798" s="84"/>
      <c r="CK798" s="85"/>
      <c r="CL798" s="85"/>
      <c r="CM798" s="84"/>
      <c r="CO798" s="84"/>
      <c r="CT798" s="84"/>
      <c r="CY798" s="84"/>
      <c r="DC798" s="84"/>
      <c r="DG798" s="84"/>
      <c r="DK798" s="84"/>
      <c r="DO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5"/>
      <c r="AM799" s="84"/>
      <c r="AN799" s="84"/>
      <c r="AP799" s="84"/>
      <c r="AU799" s="84"/>
      <c r="AY799" s="86"/>
      <c r="BE799" s="84"/>
      <c r="BJ799" s="84"/>
      <c r="BO799" s="84"/>
      <c r="BT799" s="84"/>
      <c r="BY799" s="84"/>
      <c r="CC799" s="84"/>
      <c r="CG799" s="84"/>
      <c r="CK799" s="85"/>
      <c r="CL799" s="85"/>
      <c r="CM799" s="84"/>
      <c r="CO799" s="84"/>
      <c r="CT799" s="84"/>
      <c r="CY799" s="84"/>
      <c r="DC799" s="84"/>
      <c r="DG799" s="84"/>
      <c r="DK799" s="84"/>
      <c r="DO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5"/>
      <c r="AM800" s="84"/>
      <c r="AN800" s="84"/>
      <c r="AP800" s="84"/>
      <c r="AU800" s="84"/>
      <c r="AY800" s="86"/>
      <c r="BE800" s="84"/>
      <c r="BJ800" s="84"/>
      <c r="BO800" s="84"/>
      <c r="BT800" s="84"/>
      <c r="BY800" s="84"/>
      <c r="CC800" s="84"/>
      <c r="CG800" s="84"/>
      <c r="CK800" s="85"/>
      <c r="CL800" s="85"/>
      <c r="CM800" s="84"/>
      <c r="CO800" s="84"/>
      <c r="CT800" s="84"/>
      <c r="CY800" s="84"/>
      <c r="DC800" s="84"/>
      <c r="DG800" s="84"/>
      <c r="DK800" s="84"/>
      <c r="DO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5"/>
      <c r="AM801" s="84"/>
      <c r="AN801" s="84"/>
      <c r="AP801" s="84"/>
      <c r="AU801" s="84"/>
      <c r="AY801" s="86"/>
      <c r="BE801" s="84"/>
      <c r="BJ801" s="84"/>
      <c r="BO801" s="84"/>
      <c r="BT801" s="84"/>
      <c r="BY801" s="84"/>
      <c r="CC801" s="84"/>
      <c r="CG801" s="84"/>
      <c r="CK801" s="85"/>
      <c r="CL801" s="85"/>
      <c r="CM801" s="84"/>
      <c r="CO801" s="84"/>
      <c r="CT801" s="84"/>
      <c r="CY801" s="84"/>
      <c r="DC801" s="84"/>
      <c r="DG801" s="84"/>
      <c r="DK801" s="84"/>
      <c r="DO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5"/>
      <c r="AM802" s="84"/>
      <c r="AN802" s="84"/>
      <c r="AP802" s="84"/>
      <c r="AU802" s="84"/>
      <c r="AY802" s="86"/>
      <c r="BE802" s="84"/>
      <c r="BJ802" s="84"/>
      <c r="BO802" s="84"/>
      <c r="BT802" s="84"/>
      <c r="BY802" s="84"/>
      <c r="CC802" s="84"/>
      <c r="CG802" s="84"/>
      <c r="CK802" s="85"/>
      <c r="CL802" s="85"/>
      <c r="CM802" s="84"/>
      <c r="CO802" s="84"/>
      <c r="CT802" s="84"/>
      <c r="CY802" s="84"/>
      <c r="DC802" s="84"/>
      <c r="DG802" s="84"/>
      <c r="DK802" s="84"/>
      <c r="DO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5"/>
      <c r="AM803" s="84"/>
      <c r="AN803" s="84"/>
      <c r="AP803" s="84"/>
      <c r="AU803" s="84"/>
      <c r="AY803" s="86"/>
      <c r="BE803" s="84"/>
      <c r="BJ803" s="84"/>
      <c r="BO803" s="84"/>
      <c r="BT803" s="84"/>
      <c r="BY803" s="84"/>
      <c r="CC803" s="84"/>
      <c r="CG803" s="84"/>
      <c r="CK803" s="85"/>
      <c r="CL803" s="85"/>
      <c r="CM803" s="84"/>
      <c r="CO803" s="84"/>
      <c r="CT803" s="84"/>
      <c r="CY803" s="84"/>
      <c r="DC803" s="84"/>
      <c r="DG803" s="84"/>
      <c r="DK803" s="84"/>
      <c r="DO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5"/>
      <c r="AM804" s="84"/>
      <c r="AN804" s="84"/>
      <c r="AP804" s="84"/>
      <c r="AU804" s="84"/>
      <c r="AY804" s="86"/>
      <c r="BE804" s="84"/>
      <c r="BJ804" s="84"/>
      <c r="BO804" s="84"/>
      <c r="BT804" s="84"/>
      <c r="BY804" s="84"/>
      <c r="CC804" s="84"/>
      <c r="CG804" s="84"/>
      <c r="CK804" s="85"/>
      <c r="CL804" s="85"/>
      <c r="CM804" s="84"/>
      <c r="CO804" s="84"/>
      <c r="CT804" s="84"/>
      <c r="CY804" s="84"/>
      <c r="DC804" s="84"/>
      <c r="DG804" s="84"/>
      <c r="DK804" s="84"/>
      <c r="DO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5"/>
      <c r="AM805" s="84"/>
      <c r="AN805" s="84"/>
      <c r="AP805" s="84"/>
      <c r="AU805" s="84"/>
      <c r="AY805" s="86"/>
      <c r="BE805" s="84"/>
      <c r="BJ805" s="84"/>
      <c r="BO805" s="84"/>
      <c r="BT805" s="84"/>
      <c r="BY805" s="84"/>
      <c r="CC805" s="84"/>
      <c r="CG805" s="84"/>
      <c r="CK805" s="85"/>
      <c r="CL805" s="85"/>
      <c r="CM805" s="84"/>
      <c r="CO805" s="84"/>
      <c r="CT805" s="84"/>
      <c r="CY805" s="84"/>
      <c r="DC805" s="84"/>
      <c r="DG805" s="84"/>
      <c r="DK805" s="84"/>
      <c r="DO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5"/>
      <c r="AM806" s="84"/>
      <c r="AN806" s="84"/>
      <c r="AP806" s="84"/>
      <c r="AU806" s="84"/>
      <c r="AY806" s="86"/>
      <c r="BE806" s="84"/>
      <c r="BJ806" s="84"/>
      <c r="BO806" s="84"/>
      <c r="BT806" s="84"/>
      <c r="BY806" s="84"/>
      <c r="CC806" s="84"/>
      <c r="CG806" s="84"/>
      <c r="CK806" s="85"/>
      <c r="CL806" s="85"/>
      <c r="CM806" s="84"/>
      <c r="CO806" s="84"/>
      <c r="CT806" s="84"/>
      <c r="CY806" s="84"/>
      <c r="DC806" s="84"/>
      <c r="DG806" s="84"/>
      <c r="DK806" s="84"/>
      <c r="DO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5"/>
      <c r="AM807" s="84"/>
      <c r="AN807" s="84"/>
      <c r="AP807" s="84"/>
      <c r="AU807" s="84"/>
      <c r="AY807" s="86"/>
      <c r="BE807" s="84"/>
      <c r="BJ807" s="84"/>
      <c r="BO807" s="84"/>
      <c r="BT807" s="84"/>
      <c r="BY807" s="84"/>
      <c r="CC807" s="84"/>
      <c r="CG807" s="84"/>
      <c r="CK807" s="85"/>
      <c r="CL807" s="85"/>
      <c r="CM807" s="84"/>
      <c r="CO807" s="84"/>
      <c r="CT807" s="84"/>
      <c r="CY807" s="84"/>
      <c r="DC807" s="84"/>
      <c r="DG807" s="84"/>
      <c r="DK807" s="84"/>
      <c r="DO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5"/>
      <c r="AM808" s="84"/>
      <c r="AN808" s="84"/>
      <c r="AP808" s="84"/>
      <c r="AU808" s="84"/>
      <c r="AY808" s="86"/>
      <c r="BE808" s="84"/>
      <c r="BJ808" s="84"/>
      <c r="BO808" s="84"/>
      <c r="BT808" s="84"/>
      <c r="BY808" s="84"/>
      <c r="CC808" s="84"/>
      <c r="CG808" s="84"/>
      <c r="CK808" s="85"/>
      <c r="CL808" s="85"/>
      <c r="CM808" s="84"/>
      <c r="CO808" s="84"/>
      <c r="CT808" s="84"/>
      <c r="CY808" s="84"/>
      <c r="DC808" s="84"/>
      <c r="DG808" s="84"/>
      <c r="DK808" s="84"/>
      <c r="DO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5"/>
      <c r="AM809" s="84"/>
      <c r="AN809" s="84"/>
      <c r="AP809" s="84"/>
      <c r="AU809" s="84"/>
      <c r="AY809" s="86"/>
      <c r="BE809" s="84"/>
      <c r="BJ809" s="84"/>
      <c r="BO809" s="84"/>
      <c r="BT809" s="84"/>
      <c r="BY809" s="84"/>
      <c r="CC809" s="84"/>
      <c r="CG809" s="84"/>
      <c r="CK809" s="85"/>
      <c r="CL809" s="85"/>
      <c r="CM809" s="84"/>
      <c r="CO809" s="84"/>
      <c r="CT809" s="84"/>
      <c r="CY809" s="84"/>
      <c r="DC809" s="84"/>
      <c r="DG809" s="84"/>
      <c r="DK809" s="84"/>
      <c r="DO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5"/>
      <c r="AM810" s="84"/>
      <c r="AN810" s="84"/>
      <c r="AP810" s="84"/>
      <c r="AU810" s="84"/>
      <c r="AY810" s="86"/>
      <c r="BE810" s="84"/>
      <c r="BJ810" s="84"/>
      <c r="BO810" s="84"/>
      <c r="BT810" s="84"/>
      <c r="BY810" s="84"/>
      <c r="CC810" s="84"/>
      <c r="CG810" s="84"/>
      <c r="CK810" s="85"/>
      <c r="CL810" s="85"/>
      <c r="CM810" s="84"/>
      <c r="CO810" s="84"/>
      <c r="CT810" s="84"/>
      <c r="CY810" s="84"/>
      <c r="DC810" s="84"/>
      <c r="DG810" s="84"/>
      <c r="DK810" s="84"/>
      <c r="DO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5"/>
      <c r="AM811" s="84"/>
      <c r="AN811" s="84"/>
      <c r="AP811" s="84"/>
      <c r="AU811" s="84"/>
      <c r="AY811" s="86"/>
      <c r="BE811" s="84"/>
      <c r="BJ811" s="84"/>
      <c r="BO811" s="84"/>
      <c r="BT811" s="84"/>
      <c r="BY811" s="84"/>
      <c r="CC811" s="84"/>
      <c r="CG811" s="84"/>
      <c r="CK811" s="85"/>
      <c r="CL811" s="85"/>
      <c r="CM811" s="84"/>
      <c r="CO811" s="84"/>
      <c r="CT811" s="84"/>
      <c r="CY811" s="84"/>
      <c r="DC811" s="84"/>
      <c r="DG811" s="84"/>
      <c r="DK811" s="84"/>
      <c r="DO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5"/>
      <c r="AM812" s="84"/>
      <c r="AN812" s="84"/>
      <c r="AP812" s="84"/>
      <c r="AU812" s="84"/>
      <c r="AY812" s="86"/>
      <c r="BE812" s="84"/>
      <c r="BJ812" s="84"/>
      <c r="BO812" s="84"/>
      <c r="BT812" s="84"/>
      <c r="BY812" s="84"/>
      <c r="CC812" s="84"/>
      <c r="CG812" s="84"/>
      <c r="CK812" s="85"/>
      <c r="CL812" s="85"/>
      <c r="CM812" s="84"/>
      <c r="CO812" s="84"/>
      <c r="CT812" s="84"/>
      <c r="CY812" s="84"/>
      <c r="DC812" s="84"/>
      <c r="DG812" s="84"/>
      <c r="DK812" s="84"/>
      <c r="DO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5"/>
      <c r="AM813" s="84"/>
      <c r="AN813" s="84"/>
      <c r="AP813" s="84"/>
      <c r="AU813" s="84"/>
      <c r="AY813" s="86"/>
      <c r="BE813" s="84"/>
      <c r="BJ813" s="84"/>
      <c r="BO813" s="84"/>
      <c r="BT813" s="84"/>
      <c r="BY813" s="84"/>
      <c r="CC813" s="84"/>
      <c r="CG813" s="84"/>
      <c r="CK813" s="85"/>
      <c r="CL813" s="85"/>
      <c r="CM813" s="84"/>
      <c r="CO813" s="84"/>
      <c r="CT813" s="84"/>
      <c r="CY813" s="84"/>
      <c r="DC813" s="84"/>
      <c r="DG813" s="84"/>
      <c r="DK813" s="84"/>
      <c r="DO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5"/>
      <c r="AM814" s="84"/>
      <c r="AN814" s="84"/>
      <c r="AP814" s="84"/>
      <c r="AU814" s="84"/>
      <c r="AY814" s="86"/>
      <c r="BE814" s="84"/>
      <c r="BJ814" s="84"/>
      <c r="BO814" s="84"/>
      <c r="BT814" s="84"/>
      <c r="BY814" s="84"/>
      <c r="CC814" s="84"/>
      <c r="CG814" s="84"/>
      <c r="CK814" s="85"/>
      <c r="CL814" s="85"/>
      <c r="CM814" s="84"/>
      <c r="CO814" s="84"/>
      <c r="CT814" s="84"/>
      <c r="CY814" s="84"/>
      <c r="DC814" s="84"/>
      <c r="DG814" s="84"/>
      <c r="DK814" s="84"/>
      <c r="DO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5"/>
      <c r="AM815" s="84"/>
      <c r="AN815" s="84"/>
      <c r="AP815" s="84"/>
      <c r="AU815" s="84"/>
      <c r="AY815" s="86"/>
      <c r="BE815" s="84"/>
      <c r="BJ815" s="84"/>
      <c r="BO815" s="84"/>
      <c r="BT815" s="84"/>
      <c r="BY815" s="84"/>
      <c r="CC815" s="84"/>
      <c r="CG815" s="84"/>
      <c r="CK815" s="85"/>
      <c r="CL815" s="85"/>
      <c r="CM815" s="84"/>
      <c r="CO815" s="84"/>
      <c r="CT815" s="84"/>
      <c r="CY815" s="84"/>
      <c r="DC815" s="84"/>
      <c r="DG815" s="84"/>
      <c r="DK815" s="84"/>
      <c r="DO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5"/>
      <c r="AM816" s="84"/>
      <c r="AN816" s="84"/>
      <c r="AP816" s="84"/>
      <c r="AU816" s="84"/>
      <c r="AY816" s="86"/>
      <c r="BE816" s="84"/>
      <c r="BJ816" s="84"/>
      <c r="BO816" s="84"/>
      <c r="BT816" s="84"/>
      <c r="BY816" s="84"/>
      <c r="CC816" s="84"/>
      <c r="CG816" s="84"/>
      <c r="CK816" s="85"/>
      <c r="CL816" s="85"/>
      <c r="CM816" s="84"/>
      <c r="CO816" s="84"/>
      <c r="CT816" s="84"/>
      <c r="CY816" s="84"/>
      <c r="DC816" s="84"/>
      <c r="DG816" s="84"/>
      <c r="DK816" s="84"/>
      <c r="DO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5"/>
      <c r="AM817" s="84"/>
      <c r="AN817" s="84"/>
      <c r="AP817" s="84"/>
      <c r="AU817" s="84"/>
      <c r="AY817" s="86"/>
      <c r="BE817" s="84"/>
      <c r="BJ817" s="84"/>
      <c r="BO817" s="84"/>
      <c r="BT817" s="84"/>
      <c r="BY817" s="84"/>
      <c r="CC817" s="84"/>
      <c r="CG817" s="84"/>
      <c r="CK817" s="85"/>
      <c r="CL817" s="85"/>
      <c r="CM817" s="84"/>
      <c r="CO817" s="84"/>
      <c r="CT817" s="84"/>
      <c r="CY817" s="84"/>
      <c r="DC817" s="84"/>
      <c r="DG817" s="84"/>
      <c r="DK817" s="84"/>
      <c r="DO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5"/>
      <c r="AM818" s="84"/>
      <c r="AN818" s="84"/>
      <c r="AP818" s="84"/>
      <c r="AU818" s="84"/>
      <c r="AY818" s="86"/>
      <c r="BE818" s="84"/>
      <c r="BJ818" s="84"/>
      <c r="BO818" s="84"/>
      <c r="BT818" s="84"/>
      <c r="BY818" s="84"/>
      <c r="CC818" s="84"/>
      <c r="CG818" s="84"/>
      <c r="CK818" s="85"/>
      <c r="CL818" s="85"/>
      <c r="CM818" s="84"/>
      <c r="CO818" s="84"/>
      <c r="CT818" s="84"/>
      <c r="CY818" s="84"/>
      <c r="DC818" s="84"/>
      <c r="DG818" s="84"/>
      <c r="DK818" s="84"/>
      <c r="DO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5"/>
      <c r="AM819" s="84"/>
      <c r="AN819" s="84"/>
      <c r="AP819" s="84"/>
      <c r="AU819" s="84"/>
      <c r="AY819" s="86"/>
      <c r="BE819" s="84"/>
      <c r="BJ819" s="84"/>
      <c r="BO819" s="84"/>
      <c r="BT819" s="84"/>
      <c r="BY819" s="84"/>
      <c r="CC819" s="84"/>
      <c r="CG819" s="84"/>
      <c r="CK819" s="85"/>
      <c r="CL819" s="85"/>
      <c r="CM819" s="84"/>
      <c r="CO819" s="84"/>
      <c r="CT819" s="84"/>
      <c r="CY819" s="84"/>
      <c r="DC819" s="84"/>
      <c r="DG819" s="84"/>
      <c r="DK819" s="84"/>
      <c r="DO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5"/>
      <c r="AM820" s="84"/>
      <c r="AN820" s="84"/>
      <c r="AP820" s="84"/>
      <c r="AU820" s="84"/>
      <c r="AY820" s="86"/>
      <c r="BE820" s="84"/>
      <c r="BJ820" s="84"/>
      <c r="BO820" s="84"/>
      <c r="BT820" s="84"/>
      <c r="BY820" s="84"/>
      <c r="CC820" s="84"/>
      <c r="CG820" s="84"/>
      <c r="CK820" s="85"/>
      <c r="CL820" s="85"/>
      <c r="CM820" s="84"/>
      <c r="CO820" s="84"/>
      <c r="CT820" s="84"/>
      <c r="CY820" s="84"/>
      <c r="DC820" s="84"/>
      <c r="DG820" s="84"/>
      <c r="DK820" s="84"/>
      <c r="DO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5"/>
      <c r="AM821" s="84"/>
      <c r="AN821" s="84"/>
      <c r="AP821" s="84"/>
      <c r="AU821" s="84"/>
      <c r="AY821" s="86"/>
      <c r="BE821" s="84"/>
      <c r="BJ821" s="84"/>
      <c r="BO821" s="84"/>
      <c r="BT821" s="84"/>
      <c r="BY821" s="84"/>
      <c r="CC821" s="84"/>
      <c r="CG821" s="84"/>
      <c r="CK821" s="85"/>
      <c r="CL821" s="85"/>
      <c r="CM821" s="84"/>
      <c r="CO821" s="84"/>
      <c r="CT821" s="84"/>
      <c r="CY821" s="84"/>
      <c r="DC821" s="84"/>
      <c r="DG821" s="84"/>
      <c r="DK821" s="84"/>
      <c r="DO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5"/>
      <c r="AM822" s="84"/>
      <c r="AN822" s="84"/>
      <c r="AP822" s="84"/>
      <c r="AU822" s="84"/>
      <c r="AY822" s="86"/>
      <c r="BE822" s="84"/>
      <c r="BJ822" s="84"/>
      <c r="BO822" s="84"/>
      <c r="BT822" s="84"/>
      <c r="BY822" s="84"/>
      <c r="CC822" s="84"/>
      <c r="CG822" s="84"/>
      <c r="CK822" s="85"/>
      <c r="CL822" s="85"/>
      <c r="CM822" s="84"/>
      <c r="CO822" s="84"/>
      <c r="CT822" s="84"/>
      <c r="CY822" s="84"/>
      <c r="DC822" s="84"/>
      <c r="DG822" s="84"/>
      <c r="DK822" s="84"/>
      <c r="DO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5"/>
      <c r="AM823" s="84"/>
      <c r="AN823" s="84"/>
      <c r="AP823" s="84"/>
      <c r="AU823" s="84"/>
      <c r="AY823" s="86"/>
      <c r="BE823" s="84"/>
      <c r="BJ823" s="84"/>
      <c r="BO823" s="84"/>
      <c r="BT823" s="84"/>
      <c r="BY823" s="84"/>
      <c r="CC823" s="84"/>
      <c r="CG823" s="84"/>
      <c r="CK823" s="85"/>
      <c r="CL823" s="85"/>
      <c r="CM823" s="84"/>
      <c r="CO823" s="84"/>
      <c r="CT823" s="84"/>
      <c r="CY823" s="84"/>
      <c r="DC823" s="84"/>
      <c r="DG823" s="84"/>
      <c r="DK823" s="84"/>
      <c r="DO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5"/>
      <c r="AM824" s="84"/>
      <c r="AN824" s="84"/>
      <c r="AP824" s="84"/>
      <c r="AU824" s="84"/>
      <c r="AY824" s="86"/>
      <c r="BE824" s="84"/>
      <c r="BJ824" s="84"/>
      <c r="BO824" s="84"/>
      <c r="BT824" s="84"/>
      <c r="BY824" s="84"/>
      <c r="CC824" s="84"/>
      <c r="CG824" s="84"/>
      <c r="CK824" s="85"/>
      <c r="CL824" s="85"/>
      <c r="CM824" s="84"/>
      <c r="CO824" s="84"/>
      <c r="CT824" s="84"/>
      <c r="CY824" s="84"/>
      <c r="DC824" s="84"/>
      <c r="DG824" s="84"/>
      <c r="DK824" s="84"/>
      <c r="DO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5"/>
      <c r="AM825" s="84"/>
      <c r="AN825" s="84"/>
      <c r="AP825" s="84"/>
      <c r="AU825" s="84"/>
      <c r="AY825" s="86"/>
      <c r="BE825" s="84"/>
      <c r="BJ825" s="84"/>
      <c r="BO825" s="84"/>
      <c r="BT825" s="84"/>
      <c r="BY825" s="84"/>
      <c r="CC825" s="84"/>
      <c r="CG825" s="84"/>
      <c r="CK825" s="85"/>
      <c r="CL825" s="85"/>
      <c r="CM825" s="84"/>
      <c r="CO825" s="84"/>
      <c r="CT825" s="84"/>
      <c r="CY825" s="84"/>
      <c r="DC825" s="84"/>
      <c r="DG825" s="84"/>
      <c r="DK825" s="84"/>
      <c r="DO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5"/>
      <c r="AM826" s="84"/>
      <c r="AN826" s="84"/>
      <c r="AP826" s="84"/>
      <c r="AU826" s="84"/>
      <c r="AY826" s="86"/>
      <c r="BE826" s="84"/>
      <c r="BJ826" s="84"/>
      <c r="BO826" s="84"/>
      <c r="BT826" s="84"/>
      <c r="BY826" s="84"/>
      <c r="CC826" s="84"/>
      <c r="CG826" s="84"/>
      <c r="CK826" s="85"/>
      <c r="CL826" s="85"/>
      <c r="CM826" s="84"/>
      <c r="CO826" s="84"/>
      <c r="CT826" s="84"/>
      <c r="CY826" s="84"/>
      <c r="DC826" s="84"/>
      <c r="DG826" s="84"/>
      <c r="DK826" s="84"/>
      <c r="DO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5"/>
      <c r="AM827" s="84"/>
      <c r="AN827" s="84"/>
      <c r="AP827" s="84"/>
      <c r="AU827" s="84"/>
      <c r="AY827" s="86"/>
      <c r="BE827" s="84"/>
      <c r="BJ827" s="84"/>
      <c r="BO827" s="84"/>
      <c r="BT827" s="84"/>
      <c r="BY827" s="84"/>
      <c r="CC827" s="84"/>
      <c r="CG827" s="84"/>
      <c r="CK827" s="85"/>
      <c r="CL827" s="85"/>
      <c r="CM827" s="84"/>
      <c r="CO827" s="84"/>
      <c r="CT827" s="84"/>
      <c r="CY827" s="84"/>
      <c r="DC827" s="84"/>
      <c r="DG827" s="84"/>
      <c r="DK827" s="84"/>
      <c r="DO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5"/>
      <c r="AM828" s="84"/>
      <c r="AN828" s="84"/>
      <c r="AP828" s="84"/>
      <c r="AU828" s="84"/>
      <c r="AY828" s="86"/>
      <c r="BE828" s="84"/>
      <c r="BJ828" s="84"/>
      <c r="BO828" s="84"/>
      <c r="BT828" s="84"/>
      <c r="BY828" s="84"/>
      <c r="CC828" s="84"/>
      <c r="CG828" s="84"/>
      <c r="CK828" s="85"/>
      <c r="CL828" s="85"/>
      <c r="CM828" s="84"/>
      <c r="CO828" s="84"/>
      <c r="CT828" s="84"/>
      <c r="CY828" s="84"/>
      <c r="DC828" s="84"/>
      <c r="DG828" s="84"/>
      <c r="DK828" s="84"/>
      <c r="DO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5"/>
      <c r="AM829" s="84"/>
      <c r="AN829" s="84"/>
      <c r="AP829" s="84"/>
      <c r="AU829" s="84"/>
      <c r="AY829" s="86"/>
      <c r="BE829" s="84"/>
      <c r="BJ829" s="84"/>
      <c r="BO829" s="84"/>
      <c r="BT829" s="84"/>
      <c r="BY829" s="84"/>
      <c r="CC829" s="84"/>
      <c r="CG829" s="84"/>
      <c r="CK829" s="85"/>
      <c r="CL829" s="85"/>
      <c r="CM829" s="84"/>
      <c r="CO829" s="84"/>
      <c r="CT829" s="84"/>
      <c r="CY829" s="84"/>
      <c r="DC829" s="84"/>
      <c r="DG829" s="84"/>
      <c r="DK829" s="84"/>
      <c r="DO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5"/>
      <c r="AM830" s="84"/>
      <c r="AN830" s="84"/>
      <c r="AP830" s="84"/>
      <c r="AU830" s="84"/>
      <c r="AY830" s="86"/>
      <c r="BE830" s="84"/>
      <c r="BJ830" s="84"/>
      <c r="BO830" s="84"/>
      <c r="BT830" s="84"/>
      <c r="BY830" s="84"/>
      <c r="CC830" s="84"/>
      <c r="CG830" s="84"/>
      <c r="CK830" s="85"/>
      <c r="CL830" s="85"/>
      <c r="CM830" s="84"/>
      <c r="CO830" s="84"/>
      <c r="CT830" s="84"/>
      <c r="CY830" s="84"/>
      <c r="DC830" s="84"/>
      <c r="DG830" s="84"/>
      <c r="DK830" s="84"/>
      <c r="DO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5"/>
      <c r="AM831" s="84"/>
      <c r="AN831" s="84"/>
      <c r="AP831" s="84"/>
      <c r="AU831" s="84"/>
      <c r="AY831" s="86"/>
      <c r="BE831" s="84"/>
      <c r="BJ831" s="84"/>
      <c r="BO831" s="84"/>
      <c r="BT831" s="84"/>
      <c r="BY831" s="84"/>
      <c r="CC831" s="84"/>
      <c r="CG831" s="84"/>
      <c r="CK831" s="85"/>
      <c r="CL831" s="85"/>
      <c r="CM831" s="84"/>
      <c r="CO831" s="84"/>
      <c r="CT831" s="84"/>
      <c r="CY831" s="84"/>
      <c r="DC831" s="84"/>
      <c r="DG831" s="84"/>
      <c r="DK831" s="84"/>
      <c r="DO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5"/>
      <c r="AM832" s="84"/>
      <c r="AN832" s="84"/>
      <c r="AP832" s="84"/>
      <c r="AU832" s="84"/>
      <c r="AY832" s="86"/>
      <c r="BE832" s="84"/>
      <c r="BJ832" s="84"/>
      <c r="BO832" s="84"/>
      <c r="BT832" s="84"/>
      <c r="BY832" s="84"/>
      <c r="CC832" s="84"/>
      <c r="CG832" s="84"/>
      <c r="CK832" s="85"/>
      <c r="CL832" s="85"/>
      <c r="CM832" s="84"/>
      <c r="CO832" s="84"/>
      <c r="CT832" s="84"/>
      <c r="CY832" s="84"/>
      <c r="DC832" s="84"/>
      <c r="DG832" s="84"/>
      <c r="DK832" s="84"/>
      <c r="DO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5"/>
      <c r="AM833" s="84"/>
      <c r="AN833" s="84"/>
      <c r="AP833" s="84"/>
      <c r="AU833" s="84"/>
      <c r="AY833" s="86"/>
      <c r="BE833" s="84"/>
      <c r="BJ833" s="84"/>
      <c r="BO833" s="84"/>
      <c r="BT833" s="84"/>
      <c r="BY833" s="84"/>
      <c r="CC833" s="84"/>
      <c r="CG833" s="84"/>
      <c r="CK833" s="85"/>
      <c r="CL833" s="85"/>
      <c r="CM833" s="84"/>
      <c r="CO833" s="84"/>
      <c r="CT833" s="84"/>
      <c r="CY833" s="84"/>
      <c r="DC833" s="84"/>
      <c r="DG833" s="84"/>
      <c r="DK833" s="84"/>
      <c r="DO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5"/>
      <c r="AM834" s="84"/>
      <c r="AN834" s="84"/>
      <c r="AP834" s="84"/>
      <c r="AU834" s="84"/>
      <c r="AY834" s="86"/>
      <c r="BE834" s="84"/>
      <c r="BJ834" s="84"/>
      <c r="BO834" s="84"/>
      <c r="BT834" s="84"/>
      <c r="BY834" s="84"/>
      <c r="CC834" s="84"/>
      <c r="CG834" s="84"/>
      <c r="CK834" s="85"/>
      <c r="CL834" s="85"/>
      <c r="CM834" s="84"/>
      <c r="CO834" s="84"/>
      <c r="CT834" s="84"/>
      <c r="CY834" s="84"/>
      <c r="DC834" s="84"/>
      <c r="DG834" s="84"/>
      <c r="DK834" s="84"/>
      <c r="DO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5"/>
      <c r="AM835" s="84"/>
      <c r="AN835" s="84"/>
      <c r="AP835" s="84"/>
      <c r="AU835" s="84"/>
      <c r="AY835" s="86"/>
      <c r="BE835" s="84"/>
      <c r="BJ835" s="84"/>
      <c r="BO835" s="84"/>
      <c r="BT835" s="84"/>
      <c r="BY835" s="84"/>
      <c r="CC835" s="84"/>
      <c r="CG835" s="84"/>
      <c r="CK835" s="85"/>
      <c r="CL835" s="85"/>
      <c r="CM835" s="84"/>
      <c r="CO835" s="84"/>
      <c r="CT835" s="84"/>
      <c r="CY835" s="84"/>
      <c r="DC835" s="84"/>
      <c r="DG835" s="84"/>
      <c r="DK835" s="84"/>
      <c r="DO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5"/>
      <c r="AM836" s="84"/>
      <c r="AN836" s="84"/>
      <c r="AP836" s="84"/>
      <c r="AU836" s="84"/>
      <c r="AY836" s="86"/>
      <c r="BE836" s="84"/>
      <c r="BJ836" s="84"/>
      <c r="BO836" s="84"/>
      <c r="BT836" s="84"/>
      <c r="BY836" s="84"/>
      <c r="CC836" s="84"/>
      <c r="CG836" s="84"/>
      <c r="CK836" s="85"/>
      <c r="CL836" s="85"/>
      <c r="CM836" s="84"/>
      <c r="CO836" s="84"/>
      <c r="CT836" s="84"/>
      <c r="CY836" s="84"/>
      <c r="DC836" s="84"/>
      <c r="DG836" s="84"/>
      <c r="DK836" s="84"/>
      <c r="DO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5"/>
      <c r="AM837" s="84"/>
      <c r="AN837" s="84"/>
      <c r="AP837" s="84"/>
      <c r="AU837" s="84"/>
      <c r="AY837" s="86"/>
      <c r="BE837" s="84"/>
      <c r="BJ837" s="84"/>
      <c r="BO837" s="84"/>
      <c r="BT837" s="84"/>
      <c r="BY837" s="84"/>
      <c r="CC837" s="84"/>
      <c r="CG837" s="84"/>
      <c r="CK837" s="85"/>
      <c r="CL837" s="85"/>
      <c r="CM837" s="84"/>
      <c r="CO837" s="84"/>
      <c r="CT837" s="84"/>
      <c r="CY837" s="84"/>
      <c r="DC837" s="84"/>
      <c r="DG837" s="84"/>
      <c r="DK837" s="84"/>
      <c r="DO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5"/>
      <c r="AM838" s="84"/>
      <c r="AN838" s="84"/>
      <c r="AP838" s="84"/>
      <c r="AU838" s="84"/>
      <c r="AY838" s="86"/>
      <c r="BE838" s="84"/>
      <c r="BJ838" s="84"/>
      <c r="BO838" s="84"/>
      <c r="BT838" s="84"/>
      <c r="BY838" s="84"/>
      <c r="CC838" s="84"/>
      <c r="CG838" s="84"/>
      <c r="CK838" s="85"/>
      <c r="CL838" s="85"/>
      <c r="CM838" s="84"/>
      <c r="CO838" s="84"/>
      <c r="CT838" s="84"/>
      <c r="CY838" s="84"/>
      <c r="DC838" s="84"/>
      <c r="DG838" s="84"/>
      <c r="DK838" s="84"/>
      <c r="DO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5"/>
      <c r="AM839" s="84"/>
      <c r="AN839" s="84"/>
      <c r="AP839" s="84"/>
      <c r="AU839" s="84"/>
      <c r="AY839" s="86"/>
      <c r="BE839" s="84"/>
      <c r="BJ839" s="84"/>
      <c r="BO839" s="84"/>
      <c r="BT839" s="84"/>
      <c r="BY839" s="84"/>
      <c r="CC839" s="84"/>
      <c r="CG839" s="84"/>
      <c r="CK839" s="85"/>
      <c r="CL839" s="85"/>
      <c r="CM839" s="84"/>
      <c r="CO839" s="84"/>
      <c r="CT839" s="84"/>
      <c r="CY839" s="84"/>
      <c r="DC839" s="84"/>
      <c r="DG839" s="84"/>
      <c r="DK839" s="84"/>
      <c r="DO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5"/>
      <c r="AM840" s="84"/>
      <c r="AN840" s="84"/>
      <c r="AP840" s="84"/>
      <c r="AU840" s="84"/>
      <c r="AY840" s="86"/>
      <c r="BE840" s="84"/>
      <c r="BJ840" s="84"/>
      <c r="BO840" s="84"/>
      <c r="BT840" s="84"/>
      <c r="BY840" s="84"/>
      <c r="CC840" s="84"/>
      <c r="CG840" s="84"/>
      <c r="CK840" s="85"/>
      <c r="CL840" s="85"/>
      <c r="CM840" s="84"/>
      <c r="CO840" s="84"/>
      <c r="CT840" s="84"/>
      <c r="CY840" s="84"/>
      <c r="DC840" s="84"/>
      <c r="DG840" s="84"/>
      <c r="DK840" s="84"/>
      <c r="DO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5"/>
      <c r="AM841" s="84"/>
      <c r="AN841" s="84"/>
      <c r="AP841" s="84"/>
      <c r="AU841" s="84"/>
      <c r="AY841" s="86"/>
      <c r="BE841" s="84"/>
      <c r="BJ841" s="84"/>
      <c r="BO841" s="84"/>
      <c r="BT841" s="84"/>
      <c r="BY841" s="84"/>
      <c r="CC841" s="84"/>
      <c r="CG841" s="84"/>
      <c r="CK841" s="85"/>
      <c r="CL841" s="85"/>
      <c r="CM841" s="84"/>
      <c r="CO841" s="84"/>
      <c r="CT841" s="84"/>
      <c r="CY841" s="84"/>
      <c r="DC841" s="84"/>
      <c r="DG841" s="84"/>
      <c r="DK841" s="84"/>
      <c r="DO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5"/>
      <c r="AM842" s="84"/>
      <c r="AN842" s="84"/>
      <c r="AP842" s="84"/>
      <c r="AU842" s="84"/>
      <c r="AY842" s="86"/>
      <c r="BE842" s="84"/>
      <c r="BJ842" s="84"/>
      <c r="BO842" s="84"/>
      <c r="BT842" s="84"/>
      <c r="BY842" s="84"/>
      <c r="CC842" s="84"/>
      <c r="CG842" s="84"/>
      <c r="CK842" s="85"/>
      <c r="CL842" s="85"/>
      <c r="CM842" s="84"/>
      <c r="CO842" s="84"/>
      <c r="CT842" s="84"/>
      <c r="CY842" s="84"/>
      <c r="DC842" s="84"/>
      <c r="DG842" s="84"/>
      <c r="DK842" s="84"/>
      <c r="DO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5"/>
      <c r="AM843" s="84"/>
      <c r="AN843" s="84"/>
      <c r="AP843" s="84"/>
      <c r="AU843" s="84"/>
      <c r="AY843" s="86"/>
      <c r="BE843" s="84"/>
      <c r="BJ843" s="84"/>
      <c r="BO843" s="84"/>
      <c r="BT843" s="84"/>
      <c r="BY843" s="84"/>
      <c r="CC843" s="84"/>
      <c r="CG843" s="84"/>
      <c r="CK843" s="85"/>
      <c r="CL843" s="85"/>
      <c r="CM843" s="84"/>
      <c r="CO843" s="84"/>
      <c r="CT843" s="84"/>
      <c r="CY843" s="84"/>
      <c r="DC843" s="84"/>
      <c r="DG843" s="84"/>
      <c r="DK843" s="84"/>
      <c r="DO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5"/>
      <c r="AM844" s="84"/>
      <c r="AN844" s="84"/>
      <c r="AP844" s="84"/>
      <c r="AU844" s="84"/>
      <c r="AY844" s="86"/>
      <c r="BE844" s="84"/>
      <c r="BJ844" s="84"/>
      <c r="BO844" s="84"/>
      <c r="BT844" s="84"/>
      <c r="BY844" s="84"/>
      <c r="CC844" s="84"/>
      <c r="CG844" s="84"/>
      <c r="CK844" s="85"/>
      <c r="CL844" s="85"/>
      <c r="CM844" s="84"/>
      <c r="CO844" s="84"/>
      <c r="CT844" s="84"/>
      <c r="CY844" s="84"/>
      <c r="DC844" s="84"/>
      <c r="DG844" s="84"/>
      <c r="DK844" s="84"/>
      <c r="DO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5"/>
      <c r="AM845" s="84"/>
      <c r="AN845" s="84"/>
      <c r="AP845" s="84"/>
      <c r="AU845" s="84"/>
      <c r="AY845" s="86"/>
      <c r="BE845" s="84"/>
      <c r="BJ845" s="84"/>
      <c r="BO845" s="84"/>
      <c r="BT845" s="84"/>
      <c r="BY845" s="84"/>
      <c r="CC845" s="84"/>
      <c r="CG845" s="84"/>
      <c r="CK845" s="85"/>
      <c r="CL845" s="85"/>
      <c r="CM845" s="84"/>
      <c r="CO845" s="84"/>
      <c r="CT845" s="84"/>
      <c r="CY845" s="84"/>
      <c r="DC845" s="84"/>
      <c r="DG845" s="84"/>
      <c r="DK845" s="84"/>
      <c r="DO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5"/>
      <c r="AM846" s="84"/>
      <c r="AN846" s="84"/>
      <c r="AP846" s="84"/>
      <c r="AU846" s="84"/>
      <c r="AY846" s="86"/>
      <c r="BE846" s="84"/>
      <c r="BJ846" s="84"/>
      <c r="BO846" s="84"/>
      <c r="BT846" s="84"/>
      <c r="BY846" s="84"/>
      <c r="CC846" s="84"/>
      <c r="CG846" s="84"/>
      <c r="CK846" s="85"/>
      <c r="CL846" s="85"/>
      <c r="CM846" s="84"/>
      <c r="CO846" s="84"/>
      <c r="CT846" s="84"/>
      <c r="CY846" s="84"/>
      <c r="DC846" s="84"/>
      <c r="DG846" s="84"/>
      <c r="DK846" s="84"/>
      <c r="DO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5"/>
      <c r="AM847" s="84"/>
      <c r="AN847" s="84"/>
      <c r="AP847" s="84"/>
      <c r="AU847" s="84"/>
      <c r="AY847" s="86"/>
      <c r="BE847" s="84"/>
      <c r="BJ847" s="84"/>
      <c r="BO847" s="84"/>
      <c r="BT847" s="84"/>
      <c r="BY847" s="84"/>
      <c r="CC847" s="84"/>
      <c r="CG847" s="84"/>
      <c r="CK847" s="85"/>
      <c r="CL847" s="85"/>
      <c r="CM847" s="84"/>
      <c r="CO847" s="84"/>
      <c r="CT847" s="84"/>
      <c r="CY847" s="84"/>
      <c r="DC847" s="84"/>
      <c r="DG847" s="84"/>
      <c r="DK847" s="84"/>
      <c r="DO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5"/>
      <c r="AM848" s="84"/>
      <c r="AN848" s="84"/>
      <c r="AP848" s="84"/>
      <c r="AU848" s="84"/>
      <c r="AY848" s="86"/>
      <c r="BE848" s="84"/>
      <c r="BJ848" s="84"/>
      <c r="BO848" s="84"/>
      <c r="BT848" s="84"/>
      <c r="BY848" s="84"/>
      <c r="CC848" s="84"/>
      <c r="CG848" s="84"/>
      <c r="CK848" s="85"/>
      <c r="CL848" s="85"/>
      <c r="CM848" s="84"/>
      <c r="CO848" s="84"/>
      <c r="CT848" s="84"/>
      <c r="CY848" s="84"/>
      <c r="DC848" s="84"/>
      <c r="DG848" s="84"/>
      <c r="DK848" s="84"/>
      <c r="DO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5"/>
      <c r="AM849" s="84"/>
      <c r="AN849" s="84"/>
      <c r="AP849" s="84"/>
      <c r="AU849" s="84"/>
      <c r="AY849" s="86"/>
      <c r="BE849" s="84"/>
      <c r="BJ849" s="84"/>
      <c r="BO849" s="84"/>
      <c r="BT849" s="84"/>
      <c r="BY849" s="84"/>
      <c r="CC849" s="84"/>
      <c r="CG849" s="84"/>
      <c r="CK849" s="85"/>
      <c r="CL849" s="85"/>
      <c r="CM849" s="84"/>
      <c r="CO849" s="84"/>
      <c r="CT849" s="84"/>
      <c r="CY849" s="84"/>
      <c r="DC849" s="84"/>
      <c r="DG849" s="84"/>
      <c r="DK849" s="84"/>
      <c r="DO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5"/>
      <c r="AM850" s="84"/>
      <c r="AN850" s="84"/>
      <c r="AP850" s="84"/>
      <c r="AU850" s="84"/>
      <c r="AY850" s="86"/>
      <c r="BE850" s="84"/>
      <c r="BJ850" s="84"/>
      <c r="BO850" s="84"/>
      <c r="BT850" s="84"/>
      <c r="BY850" s="84"/>
      <c r="CC850" s="84"/>
      <c r="CG850" s="84"/>
      <c r="CK850" s="85"/>
      <c r="CL850" s="85"/>
      <c r="CM850" s="84"/>
      <c r="CO850" s="84"/>
      <c r="CT850" s="84"/>
      <c r="CY850" s="84"/>
      <c r="DC850" s="84"/>
      <c r="DG850" s="84"/>
      <c r="DK850" s="84"/>
      <c r="DO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5"/>
      <c r="AM851" s="84"/>
      <c r="AN851" s="84"/>
      <c r="AP851" s="84"/>
      <c r="AU851" s="84"/>
      <c r="AY851" s="86"/>
      <c r="BE851" s="84"/>
      <c r="BJ851" s="84"/>
      <c r="BO851" s="84"/>
      <c r="BT851" s="84"/>
      <c r="BY851" s="84"/>
      <c r="CC851" s="84"/>
      <c r="CG851" s="84"/>
      <c r="CK851" s="85"/>
      <c r="CL851" s="85"/>
      <c r="CM851" s="84"/>
      <c r="CO851" s="84"/>
      <c r="CT851" s="84"/>
      <c r="CY851" s="84"/>
      <c r="DC851" s="84"/>
      <c r="DG851" s="84"/>
      <c r="DK851" s="84"/>
      <c r="DO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5"/>
      <c r="AM852" s="84"/>
      <c r="AN852" s="84"/>
      <c r="AP852" s="84"/>
      <c r="AU852" s="84"/>
      <c r="AY852" s="86"/>
      <c r="BE852" s="84"/>
      <c r="BJ852" s="84"/>
      <c r="BO852" s="84"/>
      <c r="BT852" s="84"/>
      <c r="BY852" s="84"/>
      <c r="CC852" s="84"/>
      <c r="CG852" s="84"/>
      <c r="CK852" s="85"/>
      <c r="CL852" s="85"/>
      <c r="CM852" s="84"/>
      <c r="CO852" s="84"/>
      <c r="CT852" s="84"/>
      <c r="CY852" s="84"/>
      <c r="DC852" s="84"/>
      <c r="DG852" s="84"/>
      <c r="DK852" s="84"/>
      <c r="DO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5"/>
      <c r="AM853" s="84"/>
      <c r="AN853" s="84"/>
      <c r="AP853" s="84"/>
      <c r="AU853" s="84"/>
      <c r="AY853" s="86"/>
      <c r="BE853" s="84"/>
      <c r="BJ853" s="84"/>
      <c r="BO853" s="84"/>
      <c r="BT853" s="84"/>
      <c r="BY853" s="84"/>
      <c r="CC853" s="84"/>
      <c r="CG853" s="84"/>
      <c r="CK853" s="85"/>
      <c r="CL853" s="85"/>
      <c r="CM853" s="84"/>
      <c r="CO853" s="84"/>
      <c r="CT853" s="84"/>
      <c r="CY853" s="84"/>
      <c r="DC853" s="84"/>
      <c r="DG853" s="84"/>
      <c r="DK853" s="84"/>
      <c r="DO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5"/>
      <c r="AM854" s="84"/>
      <c r="AN854" s="84"/>
      <c r="AP854" s="84"/>
      <c r="AU854" s="84"/>
      <c r="AY854" s="86"/>
      <c r="BE854" s="84"/>
      <c r="BJ854" s="84"/>
      <c r="BO854" s="84"/>
      <c r="BT854" s="84"/>
      <c r="BY854" s="84"/>
      <c r="CC854" s="84"/>
      <c r="CG854" s="84"/>
      <c r="CK854" s="85"/>
      <c r="CL854" s="85"/>
      <c r="CM854" s="84"/>
      <c r="CO854" s="84"/>
      <c r="CT854" s="84"/>
      <c r="CY854" s="84"/>
      <c r="DC854" s="84"/>
      <c r="DG854" s="84"/>
      <c r="DK854" s="84"/>
      <c r="DO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5"/>
      <c r="AM855" s="84"/>
      <c r="AN855" s="84"/>
      <c r="AP855" s="84"/>
      <c r="AU855" s="84"/>
      <c r="AY855" s="86"/>
      <c r="BE855" s="84"/>
      <c r="BJ855" s="84"/>
      <c r="BO855" s="84"/>
      <c r="BT855" s="84"/>
      <c r="BY855" s="84"/>
      <c r="CC855" s="84"/>
      <c r="CG855" s="84"/>
      <c r="CK855" s="85"/>
      <c r="CL855" s="85"/>
      <c r="CM855" s="84"/>
      <c r="CO855" s="84"/>
      <c r="CT855" s="84"/>
      <c r="CY855" s="84"/>
      <c r="DC855" s="84"/>
      <c r="DG855" s="84"/>
      <c r="DK855" s="84"/>
      <c r="DO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5"/>
      <c r="AM856" s="84"/>
      <c r="AN856" s="84"/>
      <c r="AP856" s="84"/>
      <c r="AU856" s="84"/>
      <c r="AY856" s="86"/>
      <c r="BE856" s="84"/>
      <c r="BJ856" s="84"/>
      <c r="BO856" s="84"/>
      <c r="BT856" s="84"/>
      <c r="BY856" s="84"/>
      <c r="CC856" s="84"/>
      <c r="CG856" s="84"/>
      <c r="CK856" s="85"/>
      <c r="CL856" s="85"/>
      <c r="CM856" s="84"/>
      <c r="CO856" s="84"/>
      <c r="CT856" s="84"/>
      <c r="CY856" s="84"/>
      <c r="DC856" s="84"/>
      <c r="DG856" s="84"/>
      <c r="DK856" s="84"/>
      <c r="DO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5"/>
      <c r="AM857" s="84"/>
      <c r="AN857" s="84"/>
      <c r="AP857" s="84"/>
      <c r="AU857" s="84"/>
      <c r="AY857" s="86"/>
      <c r="BE857" s="84"/>
      <c r="BJ857" s="84"/>
      <c r="BO857" s="84"/>
      <c r="BT857" s="84"/>
      <c r="BY857" s="84"/>
      <c r="CC857" s="84"/>
      <c r="CG857" s="84"/>
      <c r="CK857" s="85"/>
      <c r="CL857" s="85"/>
      <c r="CM857" s="84"/>
      <c r="CO857" s="84"/>
      <c r="CT857" s="84"/>
      <c r="CY857" s="84"/>
      <c r="DC857" s="84"/>
      <c r="DG857" s="84"/>
      <c r="DK857" s="84"/>
      <c r="DO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5"/>
      <c r="AM858" s="84"/>
      <c r="AN858" s="84"/>
      <c r="AP858" s="84"/>
      <c r="AU858" s="84"/>
      <c r="AY858" s="86"/>
      <c r="BE858" s="84"/>
      <c r="BJ858" s="84"/>
      <c r="BO858" s="84"/>
      <c r="BT858" s="84"/>
      <c r="BY858" s="84"/>
      <c r="CC858" s="84"/>
      <c r="CG858" s="84"/>
      <c r="CK858" s="85"/>
      <c r="CL858" s="85"/>
      <c r="CM858" s="84"/>
      <c r="CO858" s="84"/>
      <c r="CT858" s="84"/>
      <c r="CY858" s="84"/>
      <c r="DC858" s="84"/>
      <c r="DG858" s="84"/>
      <c r="DK858" s="84"/>
      <c r="DO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5"/>
      <c r="AM859" s="84"/>
      <c r="AN859" s="84"/>
      <c r="AP859" s="84"/>
      <c r="AU859" s="84"/>
      <c r="AY859" s="86"/>
      <c r="BE859" s="84"/>
      <c r="BJ859" s="84"/>
      <c r="BO859" s="84"/>
      <c r="BT859" s="84"/>
      <c r="BY859" s="84"/>
      <c r="CC859" s="84"/>
      <c r="CG859" s="84"/>
      <c r="CK859" s="85"/>
      <c r="CL859" s="85"/>
      <c r="CM859" s="84"/>
      <c r="CO859" s="84"/>
      <c r="CT859" s="84"/>
      <c r="CY859" s="84"/>
      <c r="DC859" s="84"/>
      <c r="DG859" s="84"/>
      <c r="DK859" s="84"/>
      <c r="DO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5"/>
      <c r="AM860" s="84"/>
      <c r="AN860" s="84"/>
      <c r="AP860" s="84"/>
      <c r="AU860" s="84"/>
      <c r="AY860" s="86"/>
      <c r="BE860" s="84"/>
      <c r="BJ860" s="84"/>
      <c r="BO860" s="84"/>
      <c r="BT860" s="84"/>
      <c r="BY860" s="84"/>
      <c r="CC860" s="84"/>
      <c r="CG860" s="84"/>
      <c r="CK860" s="85"/>
      <c r="CL860" s="85"/>
      <c r="CM860" s="84"/>
      <c r="CO860" s="84"/>
      <c r="CT860" s="84"/>
      <c r="CY860" s="84"/>
      <c r="DC860" s="84"/>
      <c r="DG860" s="84"/>
      <c r="DK860" s="84"/>
      <c r="DO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5"/>
      <c r="AM861" s="84"/>
      <c r="AN861" s="84"/>
      <c r="AP861" s="84"/>
      <c r="AU861" s="84"/>
      <c r="AY861" s="86"/>
      <c r="BE861" s="84"/>
      <c r="BJ861" s="84"/>
      <c r="BO861" s="84"/>
      <c r="BT861" s="84"/>
      <c r="BY861" s="84"/>
      <c r="CC861" s="84"/>
      <c r="CG861" s="84"/>
      <c r="CK861" s="85"/>
      <c r="CL861" s="85"/>
      <c r="CM861" s="84"/>
      <c r="CO861" s="84"/>
      <c r="CT861" s="84"/>
      <c r="CY861" s="84"/>
      <c r="DC861" s="84"/>
      <c r="DG861" s="84"/>
      <c r="DK861" s="84"/>
      <c r="DO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5"/>
      <c r="AM862" s="84"/>
      <c r="AN862" s="84"/>
      <c r="AP862" s="84"/>
      <c r="AU862" s="84"/>
      <c r="AY862" s="86"/>
      <c r="BE862" s="84"/>
      <c r="BJ862" s="84"/>
      <c r="BO862" s="84"/>
      <c r="BT862" s="84"/>
      <c r="BY862" s="84"/>
      <c r="CC862" s="84"/>
      <c r="CG862" s="84"/>
      <c r="CK862" s="85"/>
      <c r="CL862" s="85"/>
      <c r="CM862" s="84"/>
      <c r="CO862" s="84"/>
      <c r="CT862" s="84"/>
      <c r="CY862" s="84"/>
      <c r="DC862" s="84"/>
      <c r="DG862" s="84"/>
      <c r="DK862" s="84"/>
      <c r="DO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5"/>
      <c r="AM863" s="84"/>
      <c r="AN863" s="84"/>
      <c r="AP863" s="84"/>
      <c r="AU863" s="84"/>
      <c r="AY863" s="86"/>
      <c r="BE863" s="84"/>
      <c r="BJ863" s="84"/>
      <c r="BO863" s="84"/>
      <c r="BT863" s="84"/>
      <c r="BY863" s="84"/>
      <c r="CC863" s="84"/>
      <c r="CG863" s="84"/>
      <c r="CK863" s="85"/>
      <c r="CL863" s="85"/>
      <c r="CM863" s="84"/>
      <c r="CO863" s="84"/>
      <c r="CT863" s="84"/>
      <c r="CY863" s="84"/>
      <c r="DC863" s="84"/>
      <c r="DG863" s="84"/>
      <c r="DK863" s="84"/>
      <c r="DO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5"/>
      <c r="AM864" s="84"/>
      <c r="AN864" s="84"/>
      <c r="AP864" s="84"/>
      <c r="AU864" s="84"/>
      <c r="AY864" s="86"/>
      <c r="BE864" s="84"/>
      <c r="BJ864" s="84"/>
      <c r="BO864" s="84"/>
      <c r="BT864" s="84"/>
      <c r="BY864" s="84"/>
      <c r="CC864" s="84"/>
      <c r="CG864" s="84"/>
      <c r="CK864" s="85"/>
      <c r="CL864" s="85"/>
      <c r="CM864" s="84"/>
      <c r="CO864" s="84"/>
      <c r="CT864" s="84"/>
      <c r="CY864" s="84"/>
      <c r="DC864" s="84"/>
      <c r="DG864" s="84"/>
      <c r="DK864" s="84"/>
      <c r="DO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5"/>
      <c r="AM865" s="84"/>
      <c r="AN865" s="84"/>
      <c r="AP865" s="84"/>
      <c r="AU865" s="84"/>
      <c r="AY865" s="86"/>
      <c r="BE865" s="84"/>
      <c r="BJ865" s="84"/>
      <c r="BO865" s="84"/>
      <c r="BT865" s="84"/>
      <c r="BY865" s="84"/>
      <c r="CC865" s="84"/>
      <c r="CG865" s="84"/>
      <c r="CK865" s="85"/>
      <c r="CL865" s="85"/>
      <c r="CM865" s="84"/>
      <c r="CO865" s="84"/>
      <c r="CT865" s="84"/>
      <c r="CY865" s="84"/>
      <c r="DC865" s="84"/>
      <c r="DG865" s="84"/>
      <c r="DK865" s="84"/>
      <c r="DO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5"/>
      <c r="AM866" s="84"/>
      <c r="AN866" s="84"/>
      <c r="AP866" s="84"/>
      <c r="AU866" s="84"/>
      <c r="AY866" s="86"/>
      <c r="BE866" s="84"/>
      <c r="BJ866" s="84"/>
      <c r="BO866" s="84"/>
      <c r="BT866" s="84"/>
      <c r="BY866" s="84"/>
      <c r="CC866" s="84"/>
      <c r="CG866" s="84"/>
      <c r="CK866" s="85"/>
      <c r="CL866" s="85"/>
      <c r="CM866" s="84"/>
      <c r="CO866" s="84"/>
      <c r="CT866" s="84"/>
      <c r="CY866" s="84"/>
      <c r="DC866" s="84"/>
      <c r="DG866" s="84"/>
      <c r="DK866" s="84"/>
      <c r="DO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5"/>
      <c r="AM867" s="84"/>
      <c r="AN867" s="84"/>
      <c r="AP867" s="84"/>
      <c r="AU867" s="84"/>
      <c r="AY867" s="86"/>
      <c r="BE867" s="84"/>
      <c r="BJ867" s="84"/>
      <c r="BO867" s="84"/>
      <c r="BT867" s="84"/>
      <c r="BY867" s="84"/>
      <c r="CC867" s="84"/>
      <c r="CG867" s="84"/>
      <c r="CK867" s="85"/>
      <c r="CL867" s="85"/>
      <c r="CM867" s="84"/>
      <c r="CO867" s="84"/>
      <c r="CT867" s="84"/>
      <c r="CY867" s="84"/>
      <c r="DC867" s="84"/>
      <c r="DG867" s="84"/>
      <c r="DK867" s="84"/>
      <c r="DO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5"/>
      <c r="AM868" s="84"/>
      <c r="AN868" s="84"/>
      <c r="AP868" s="84"/>
      <c r="AU868" s="84"/>
      <c r="AY868" s="86"/>
      <c r="BE868" s="84"/>
      <c r="BJ868" s="84"/>
      <c r="BO868" s="84"/>
      <c r="BT868" s="84"/>
      <c r="BY868" s="84"/>
      <c r="CC868" s="84"/>
      <c r="CG868" s="84"/>
      <c r="CK868" s="85"/>
      <c r="CL868" s="85"/>
      <c r="CM868" s="84"/>
      <c r="CO868" s="84"/>
      <c r="CT868" s="84"/>
      <c r="CY868" s="84"/>
      <c r="DC868" s="84"/>
      <c r="DG868" s="84"/>
      <c r="DK868" s="84"/>
      <c r="DO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5"/>
      <c r="AM869" s="84"/>
      <c r="AN869" s="84"/>
      <c r="AP869" s="84"/>
      <c r="AU869" s="84"/>
      <c r="AY869" s="86"/>
      <c r="BE869" s="84"/>
      <c r="BJ869" s="84"/>
      <c r="BO869" s="84"/>
      <c r="BT869" s="84"/>
      <c r="BY869" s="84"/>
      <c r="CC869" s="84"/>
      <c r="CG869" s="84"/>
      <c r="CK869" s="85"/>
      <c r="CL869" s="85"/>
      <c r="CM869" s="84"/>
      <c r="CO869" s="84"/>
      <c r="CT869" s="84"/>
      <c r="CY869" s="84"/>
      <c r="DC869" s="84"/>
      <c r="DG869" s="84"/>
      <c r="DK869" s="84"/>
      <c r="DO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5"/>
      <c r="AM870" s="84"/>
      <c r="AN870" s="84"/>
      <c r="AP870" s="84"/>
      <c r="AU870" s="84"/>
      <c r="AY870" s="86"/>
      <c r="BE870" s="84"/>
      <c r="BJ870" s="84"/>
      <c r="BO870" s="84"/>
      <c r="BT870" s="84"/>
      <c r="BY870" s="84"/>
      <c r="CC870" s="84"/>
      <c r="CG870" s="84"/>
      <c r="CK870" s="85"/>
      <c r="CL870" s="85"/>
      <c r="CM870" s="84"/>
      <c r="CO870" s="84"/>
      <c r="CT870" s="84"/>
      <c r="CY870" s="84"/>
      <c r="DC870" s="84"/>
      <c r="DG870" s="84"/>
      <c r="DK870" s="84"/>
      <c r="DO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5"/>
      <c r="AM871" s="84"/>
      <c r="AN871" s="84"/>
      <c r="AP871" s="84"/>
      <c r="AU871" s="84"/>
      <c r="AY871" s="86"/>
      <c r="BE871" s="84"/>
      <c r="BJ871" s="84"/>
      <c r="BO871" s="84"/>
      <c r="BT871" s="84"/>
      <c r="BY871" s="84"/>
      <c r="CC871" s="84"/>
      <c r="CG871" s="84"/>
      <c r="CK871" s="85"/>
      <c r="CL871" s="85"/>
      <c r="CM871" s="84"/>
      <c r="CO871" s="84"/>
      <c r="CT871" s="84"/>
      <c r="CY871" s="84"/>
      <c r="DC871" s="84"/>
      <c r="DG871" s="84"/>
      <c r="DK871" s="84"/>
      <c r="DO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5"/>
      <c r="AM872" s="84"/>
      <c r="AN872" s="84"/>
      <c r="AP872" s="84"/>
      <c r="AU872" s="84"/>
      <c r="AY872" s="86"/>
      <c r="BE872" s="84"/>
      <c r="BJ872" s="84"/>
      <c r="BO872" s="84"/>
      <c r="BT872" s="84"/>
      <c r="BY872" s="84"/>
      <c r="CC872" s="84"/>
      <c r="CG872" s="84"/>
      <c r="CK872" s="85"/>
      <c r="CL872" s="85"/>
      <c r="CM872" s="84"/>
      <c r="CO872" s="84"/>
      <c r="CT872" s="84"/>
      <c r="CY872" s="84"/>
      <c r="DC872" s="84"/>
      <c r="DG872" s="84"/>
      <c r="DK872" s="84"/>
      <c r="DO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5"/>
      <c r="AM873" s="84"/>
      <c r="AN873" s="84"/>
      <c r="AP873" s="84"/>
      <c r="AU873" s="84"/>
      <c r="AY873" s="86"/>
      <c r="BE873" s="84"/>
      <c r="BJ873" s="84"/>
      <c r="BO873" s="84"/>
      <c r="BT873" s="84"/>
      <c r="BY873" s="84"/>
      <c r="CC873" s="84"/>
      <c r="CG873" s="84"/>
      <c r="CK873" s="85"/>
      <c r="CL873" s="85"/>
      <c r="CM873" s="84"/>
      <c r="CO873" s="84"/>
      <c r="CT873" s="84"/>
      <c r="CY873" s="84"/>
      <c r="DC873" s="84"/>
      <c r="DG873" s="84"/>
      <c r="DK873" s="84"/>
      <c r="DO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5"/>
      <c r="AM874" s="84"/>
      <c r="AN874" s="84"/>
      <c r="AP874" s="84"/>
      <c r="AU874" s="84"/>
      <c r="AY874" s="86"/>
      <c r="BE874" s="84"/>
      <c r="BJ874" s="84"/>
      <c r="BO874" s="84"/>
      <c r="BT874" s="84"/>
      <c r="BY874" s="84"/>
      <c r="CC874" s="84"/>
      <c r="CG874" s="84"/>
      <c r="CK874" s="85"/>
      <c r="CL874" s="85"/>
      <c r="CM874" s="84"/>
      <c r="CO874" s="84"/>
      <c r="CT874" s="84"/>
      <c r="CY874" s="84"/>
      <c r="DC874" s="84"/>
      <c r="DG874" s="84"/>
      <c r="DK874" s="84"/>
      <c r="DO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5"/>
      <c r="AM875" s="84"/>
      <c r="AN875" s="84"/>
      <c r="AP875" s="84"/>
      <c r="AU875" s="84"/>
      <c r="AY875" s="86"/>
      <c r="BE875" s="84"/>
      <c r="BJ875" s="84"/>
      <c r="BO875" s="84"/>
      <c r="BT875" s="84"/>
      <c r="BY875" s="84"/>
      <c r="CC875" s="84"/>
      <c r="CG875" s="84"/>
      <c r="CK875" s="85"/>
      <c r="CL875" s="85"/>
      <c r="CM875" s="84"/>
      <c r="CO875" s="84"/>
      <c r="CT875" s="84"/>
      <c r="CY875" s="84"/>
      <c r="DC875" s="84"/>
      <c r="DG875" s="84"/>
      <c r="DK875" s="84"/>
      <c r="DO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5"/>
      <c r="AM876" s="84"/>
      <c r="AN876" s="84"/>
      <c r="AP876" s="84"/>
      <c r="AU876" s="84"/>
      <c r="AY876" s="86"/>
      <c r="BE876" s="84"/>
      <c r="BJ876" s="84"/>
      <c r="BO876" s="84"/>
      <c r="BT876" s="84"/>
      <c r="BY876" s="84"/>
      <c r="CC876" s="84"/>
      <c r="CG876" s="84"/>
      <c r="CK876" s="85"/>
      <c r="CL876" s="85"/>
      <c r="CM876" s="84"/>
      <c r="CO876" s="84"/>
      <c r="CT876" s="84"/>
      <c r="CY876" s="84"/>
      <c r="DC876" s="84"/>
      <c r="DG876" s="84"/>
      <c r="DK876" s="84"/>
      <c r="DO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5"/>
      <c r="AM877" s="84"/>
      <c r="AN877" s="84"/>
      <c r="AP877" s="84"/>
      <c r="AU877" s="84"/>
      <c r="AY877" s="86"/>
      <c r="BE877" s="84"/>
      <c r="BJ877" s="84"/>
      <c r="BO877" s="84"/>
      <c r="BT877" s="84"/>
      <c r="BY877" s="84"/>
      <c r="CC877" s="84"/>
      <c r="CG877" s="84"/>
      <c r="CK877" s="85"/>
      <c r="CL877" s="85"/>
      <c r="CM877" s="84"/>
      <c r="CO877" s="84"/>
      <c r="CT877" s="84"/>
      <c r="CY877" s="84"/>
      <c r="DC877" s="84"/>
      <c r="DG877" s="84"/>
      <c r="DK877" s="84"/>
      <c r="DO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5"/>
      <c r="AM878" s="84"/>
      <c r="AN878" s="84"/>
      <c r="AP878" s="84"/>
      <c r="AU878" s="84"/>
      <c r="AY878" s="86"/>
      <c r="BE878" s="84"/>
      <c r="BJ878" s="84"/>
      <c r="BO878" s="84"/>
      <c r="BT878" s="84"/>
      <c r="BY878" s="84"/>
      <c r="CC878" s="84"/>
      <c r="CG878" s="84"/>
      <c r="CK878" s="85"/>
      <c r="CL878" s="85"/>
      <c r="CM878" s="84"/>
      <c r="CO878" s="84"/>
      <c r="CT878" s="84"/>
      <c r="CY878" s="84"/>
      <c r="DC878" s="84"/>
      <c r="DG878" s="84"/>
      <c r="DK878" s="84"/>
      <c r="DO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5"/>
      <c r="AM879" s="84"/>
      <c r="AN879" s="84"/>
      <c r="AP879" s="84"/>
      <c r="AU879" s="84"/>
      <c r="AY879" s="86"/>
      <c r="BE879" s="84"/>
      <c r="BJ879" s="84"/>
      <c r="BO879" s="84"/>
      <c r="BT879" s="84"/>
      <c r="BY879" s="84"/>
      <c r="CC879" s="84"/>
      <c r="CG879" s="84"/>
      <c r="CK879" s="85"/>
      <c r="CL879" s="85"/>
      <c r="CM879" s="84"/>
      <c r="CO879" s="84"/>
      <c r="CT879" s="84"/>
      <c r="CY879" s="84"/>
      <c r="DC879" s="84"/>
      <c r="DG879" s="84"/>
      <c r="DK879" s="84"/>
      <c r="DO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5"/>
      <c r="AM880" s="84"/>
      <c r="AN880" s="84"/>
      <c r="AP880" s="84"/>
      <c r="AU880" s="84"/>
      <c r="AY880" s="86"/>
      <c r="BE880" s="84"/>
      <c r="BJ880" s="84"/>
      <c r="BO880" s="84"/>
      <c r="BT880" s="84"/>
      <c r="BY880" s="84"/>
      <c r="CC880" s="84"/>
      <c r="CG880" s="84"/>
      <c r="CK880" s="85"/>
      <c r="CL880" s="85"/>
      <c r="CM880" s="84"/>
      <c r="CO880" s="84"/>
      <c r="CT880" s="84"/>
      <c r="CY880" s="84"/>
      <c r="DC880" s="84"/>
      <c r="DG880" s="84"/>
      <c r="DK880" s="84"/>
      <c r="DO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5"/>
      <c r="AM881" s="84"/>
      <c r="AN881" s="84"/>
      <c r="AP881" s="84"/>
      <c r="AU881" s="84"/>
      <c r="AY881" s="86"/>
      <c r="BE881" s="84"/>
      <c r="BJ881" s="84"/>
      <c r="BO881" s="84"/>
      <c r="BT881" s="84"/>
      <c r="BY881" s="84"/>
      <c r="CC881" s="84"/>
      <c r="CG881" s="84"/>
      <c r="CK881" s="85"/>
      <c r="CL881" s="85"/>
      <c r="CM881" s="84"/>
      <c r="CO881" s="84"/>
      <c r="CT881" s="84"/>
      <c r="CY881" s="84"/>
      <c r="DC881" s="84"/>
      <c r="DG881" s="84"/>
      <c r="DK881" s="84"/>
      <c r="DO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5"/>
      <c r="AM882" s="84"/>
      <c r="AN882" s="84"/>
      <c r="AP882" s="84"/>
      <c r="AU882" s="84"/>
      <c r="AY882" s="86"/>
      <c r="BE882" s="84"/>
      <c r="BJ882" s="84"/>
      <c r="BO882" s="84"/>
      <c r="BT882" s="84"/>
      <c r="BY882" s="84"/>
      <c r="CC882" s="84"/>
      <c r="CG882" s="84"/>
      <c r="CK882" s="85"/>
      <c r="CL882" s="85"/>
      <c r="CM882" s="84"/>
      <c r="CO882" s="84"/>
      <c r="CT882" s="84"/>
      <c r="CY882" s="84"/>
      <c r="DC882" s="84"/>
      <c r="DG882" s="84"/>
      <c r="DK882" s="84"/>
      <c r="DO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5"/>
      <c r="AM883" s="84"/>
      <c r="AN883" s="84"/>
      <c r="AP883" s="84"/>
      <c r="AU883" s="84"/>
      <c r="AY883" s="86"/>
      <c r="BE883" s="84"/>
      <c r="BJ883" s="84"/>
      <c r="BO883" s="84"/>
      <c r="BT883" s="84"/>
      <c r="BY883" s="84"/>
      <c r="CC883" s="84"/>
      <c r="CG883" s="84"/>
      <c r="CK883" s="85"/>
      <c r="CL883" s="85"/>
      <c r="CM883" s="84"/>
      <c r="CO883" s="84"/>
      <c r="CT883" s="84"/>
      <c r="CY883" s="84"/>
      <c r="DC883" s="84"/>
      <c r="DG883" s="84"/>
      <c r="DK883" s="84"/>
      <c r="DO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5"/>
      <c r="AM884" s="84"/>
      <c r="AN884" s="84"/>
      <c r="AP884" s="84"/>
      <c r="AU884" s="84"/>
      <c r="AY884" s="86"/>
      <c r="BE884" s="84"/>
      <c r="BJ884" s="84"/>
      <c r="BO884" s="84"/>
      <c r="BT884" s="84"/>
      <c r="BY884" s="84"/>
      <c r="CC884" s="84"/>
      <c r="CG884" s="84"/>
      <c r="CK884" s="85"/>
      <c r="CL884" s="85"/>
      <c r="CM884" s="84"/>
      <c r="CO884" s="84"/>
      <c r="CT884" s="84"/>
      <c r="CY884" s="84"/>
      <c r="DC884" s="84"/>
      <c r="DG884" s="84"/>
      <c r="DK884" s="84"/>
      <c r="DO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5"/>
      <c r="AM885" s="84"/>
      <c r="AN885" s="84"/>
      <c r="AP885" s="84"/>
      <c r="AU885" s="84"/>
      <c r="AY885" s="86"/>
      <c r="BE885" s="84"/>
      <c r="BJ885" s="84"/>
      <c r="BO885" s="84"/>
      <c r="BT885" s="84"/>
      <c r="BY885" s="84"/>
      <c r="CC885" s="84"/>
      <c r="CG885" s="84"/>
      <c r="CK885" s="85"/>
      <c r="CL885" s="85"/>
      <c r="CM885" s="84"/>
      <c r="CO885" s="84"/>
      <c r="CT885" s="84"/>
      <c r="CY885" s="84"/>
      <c r="DC885" s="84"/>
      <c r="DG885" s="84"/>
      <c r="DK885" s="84"/>
      <c r="DO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5"/>
      <c r="AM886" s="84"/>
      <c r="AN886" s="84"/>
      <c r="AP886" s="84"/>
      <c r="AU886" s="84"/>
      <c r="AY886" s="86"/>
      <c r="BE886" s="84"/>
      <c r="BJ886" s="84"/>
      <c r="BO886" s="84"/>
      <c r="BT886" s="84"/>
      <c r="BY886" s="84"/>
      <c r="CC886" s="84"/>
      <c r="CG886" s="84"/>
      <c r="CK886" s="85"/>
      <c r="CL886" s="85"/>
      <c r="CM886" s="84"/>
      <c r="CO886" s="84"/>
      <c r="CT886" s="84"/>
      <c r="CY886" s="84"/>
      <c r="DC886" s="84"/>
      <c r="DG886" s="84"/>
      <c r="DK886" s="84"/>
      <c r="DO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5"/>
      <c r="AM887" s="84"/>
      <c r="AN887" s="84"/>
      <c r="AP887" s="84"/>
      <c r="AU887" s="84"/>
      <c r="AY887" s="86"/>
      <c r="BE887" s="84"/>
      <c r="BJ887" s="84"/>
      <c r="BO887" s="84"/>
      <c r="BT887" s="84"/>
      <c r="BY887" s="84"/>
      <c r="CC887" s="84"/>
      <c r="CG887" s="84"/>
      <c r="CK887" s="85"/>
      <c r="CL887" s="85"/>
      <c r="CM887" s="84"/>
      <c r="CO887" s="84"/>
      <c r="CT887" s="84"/>
      <c r="CY887" s="84"/>
      <c r="DC887" s="84"/>
      <c r="DG887" s="84"/>
      <c r="DK887" s="84"/>
      <c r="DO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5"/>
      <c r="AM888" s="84"/>
      <c r="AN888" s="84"/>
      <c r="AP888" s="84"/>
      <c r="AU888" s="84"/>
      <c r="AY888" s="86"/>
      <c r="BE888" s="84"/>
      <c r="BJ888" s="84"/>
      <c r="BO888" s="84"/>
      <c r="BT888" s="84"/>
      <c r="BY888" s="84"/>
      <c r="CC888" s="84"/>
      <c r="CG888" s="84"/>
      <c r="CK888" s="85"/>
      <c r="CL888" s="85"/>
      <c r="CM888" s="84"/>
      <c r="CO888" s="84"/>
      <c r="CT888" s="84"/>
      <c r="CY888" s="84"/>
      <c r="DC888" s="84"/>
      <c r="DG888" s="84"/>
      <c r="DK888" s="84"/>
      <c r="DO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5"/>
      <c r="AM889" s="84"/>
      <c r="AN889" s="84"/>
      <c r="AP889" s="84"/>
      <c r="AU889" s="84"/>
      <c r="AY889" s="86"/>
      <c r="BE889" s="84"/>
      <c r="BJ889" s="84"/>
      <c r="BO889" s="84"/>
      <c r="BT889" s="84"/>
      <c r="BY889" s="84"/>
      <c r="CC889" s="84"/>
      <c r="CG889" s="84"/>
      <c r="CK889" s="85"/>
      <c r="CL889" s="85"/>
      <c r="CM889" s="84"/>
      <c r="CO889" s="84"/>
      <c r="CT889" s="84"/>
      <c r="CY889" s="84"/>
      <c r="DC889" s="84"/>
      <c r="DG889" s="84"/>
      <c r="DK889" s="84"/>
      <c r="DO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5"/>
      <c r="AM890" s="84"/>
      <c r="AN890" s="84"/>
      <c r="AP890" s="84"/>
      <c r="AU890" s="84"/>
      <c r="AY890" s="86"/>
      <c r="BE890" s="84"/>
      <c r="BJ890" s="84"/>
      <c r="BO890" s="84"/>
      <c r="BT890" s="84"/>
      <c r="BY890" s="84"/>
      <c r="CC890" s="84"/>
      <c r="CG890" s="84"/>
      <c r="CK890" s="85"/>
      <c r="CL890" s="85"/>
      <c r="CM890" s="84"/>
      <c r="CO890" s="84"/>
      <c r="CT890" s="84"/>
      <c r="CY890" s="84"/>
      <c r="DC890" s="84"/>
      <c r="DG890" s="84"/>
      <c r="DK890" s="84"/>
      <c r="DO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5"/>
      <c r="AM891" s="84"/>
      <c r="AN891" s="84"/>
      <c r="AP891" s="84"/>
      <c r="AU891" s="84"/>
      <c r="AY891" s="86"/>
      <c r="BE891" s="84"/>
      <c r="BJ891" s="84"/>
      <c r="BO891" s="84"/>
      <c r="BT891" s="84"/>
      <c r="BY891" s="84"/>
      <c r="CC891" s="84"/>
      <c r="CG891" s="84"/>
      <c r="CK891" s="85"/>
      <c r="CL891" s="85"/>
      <c r="CM891" s="84"/>
      <c r="CO891" s="84"/>
      <c r="CT891" s="84"/>
      <c r="CY891" s="84"/>
      <c r="DC891" s="84"/>
      <c r="DG891" s="84"/>
      <c r="DK891" s="84"/>
      <c r="DO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5"/>
      <c r="AM892" s="84"/>
      <c r="AN892" s="84"/>
      <c r="AP892" s="84"/>
      <c r="AU892" s="84"/>
      <c r="AY892" s="86"/>
      <c r="BE892" s="84"/>
      <c r="BJ892" s="84"/>
      <c r="BO892" s="84"/>
      <c r="BT892" s="84"/>
      <c r="BY892" s="84"/>
      <c r="CC892" s="84"/>
      <c r="CG892" s="84"/>
      <c r="CK892" s="85"/>
      <c r="CL892" s="85"/>
      <c r="CM892" s="84"/>
      <c r="CO892" s="84"/>
      <c r="CT892" s="84"/>
      <c r="CY892" s="84"/>
      <c r="DC892" s="84"/>
      <c r="DG892" s="84"/>
      <c r="DK892" s="84"/>
      <c r="DO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5"/>
      <c r="AM893" s="84"/>
      <c r="AN893" s="84"/>
      <c r="AP893" s="84"/>
      <c r="AU893" s="84"/>
      <c r="AY893" s="86"/>
      <c r="BE893" s="84"/>
      <c r="BJ893" s="84"/>
      <c r="BO893" s="84"/>
      <c r="BT893" s="84"/>
      <c r="BY893" s="84"/>
      <c r="CC893" s="84"/>
      <c r="CG893" s="84"/>
      <c r="CK893" s="85"/>
      <c r="CL893" s="85"/>
      <c r="CM893" s="84"/>
      <c r="CO893" s="84"/>
      <c r="CT893" s="84"/>
      <c r="CY893" s="84"/>
      <c r="DC893" s="84"/>
      <c r="DG893" s="84"/>
      <c r="DK893" s="84"/>
      <c r="DO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5"/>
      <c r="AM894" s="84"/>
      <c r="AN894" s="84"/>
      <c r="AP894" s="84"/>
      <c r="AU894" s="84"/>
      <c r="AY894" s="86"/>
      <c r="BE894" s="84"/>
      <c r="BJ894" s="84"/>
      <c r="BO894" s="84"/>
      <c r="BT894" s="84"/>
      <c r="BY894" s="84"/>
      <c r="CC894" s="84"/>
      <c r="CG894" s="84"/>
      <c r="CK894" s="85"/>
      <c r="CL894" s="85"/>
      <c r="CM894" s="84"/>
      <c r="CO894" s="84"/>
      <c r="CT894" s="84"/>
      <c r="CY894" s="84"/>
      <c r="DC894" s="84"/>
      <c r="DG894" s="84"/>
      <c r="DK894" s="84"/>
      <c r="DO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5"/>
      <c r="AM895" s="84"/>
      <c r="AN895" s="84"/>
      <c r="AP895" s="84"/>
      <c r="AU895" s="84"/>
      <c r="AY895" s="86"/>
      <c r="BE895" s="84"/>
      <c r="BJ895" s="84"/>
      <c r="BO895" s="84"/>
      <c r="BT895" s="84"/>
      <c r="BY895" s="84"/>
      <c r="CC895" s="84"/>
      <c r="CG895" s="84"/>
      <c r="CK895" s="85"/>
      <c r="CL895" s="85"/>
      <c r="CM895" s="84"/>
      <c r="CO895" s="84"/>
      <c r="CT895" s="84"/>
      <c r="CY895" s="84"/>
      <c r="DC895" s="84"/>
      <c r="DG895" s="84"/>
      <c r="DK895" s="84"/>
      <c r="DO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5"/>
      <c r="AM896" s="84"/>
      <c r="AN896" s="84"/>
      <c r="AP896" s="84"/>
      <c r="AU896" s="84"/>
      <c r="AY896" s="86"/>
      <c r="BE896" s="84"/>
      <c r="BJ896" s="84"/>
      <c r="BO896" s="84"/>
      <c r="BT896" s="84"/>
      <c r="BY896" s="84"/>
      <c r="CC896" s="84"/>
      <c r="CG896" s="84"/>
      <c r="CK896" s="85"/>
      <c r="CL896" s="85"/>
      <c r="CM896" s="84"/>
      <c r="CO896" s="84"/>
      <c r="CT896" s="84"/>
      <c r="CY896" s="84"/>
      <c r="DC896" s="84"/>
      <c r="DG896" s="84"/>
      <c r="DK896" s="84"/>
      <c r="DO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5"/>
      <c r="AM897" s="84"/>
      <c r="AN897" s="84"/>
      <c r="AP897" s="84"/>
      <c r="AU897" s="84"/>
      <c r="AY897" s="86"/>
      <c r="BE897" s="84"/>
      <c r="BJ897" s="84"/>
      <c r="BO897" s="84"/>
      <c r="BT897" s="84"/>
      <c r="BY897" s="84"/>
      <c r="CC897" s="84"/>
      <c r="CG897" s="84"/>
      <c r="CK897" s="85"/>
      <c r="CL897" s="85"/>
      <c r="CM897" s="84"/>
      <c r="CO897" s="84"/>
      <c r="CT897" s="84"/>
      <c r="CY897" s="84"/>
      <c r="DC897" s="84"/>
      <c r="DG897" s="84"/>
      <c r="DK897" s="84"/>
      <c r="DO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5"/>
      <c r="AM898" s="84"/>
      <c r="AN898" s="84"/>
      <c r="AP898" s="84"/>
      <c r="AU898" s="84"/>
      <c r="AY898" s="86"/>
      <c r="BE898" s="84"/>
      <c r="BJ898" s="84"/>
      <c r="BO898" s="84"/>
      <c r="BT898" s="84"/>
      <c r="BY898" s="84"/>
      <c r="CC898" s="84"/>
      <c r="CG898" s="84"/>
      <c r="CK898" s="85"/>
      <c r="CL898" s="85"/>
      <c r="CM898" s="84"/>
      <c r="CO898" s="84"/>
      <c r="CT898" s="84"/>
      <c r="CY898" s="84"/>
      <c r="DC898" s="84"/>
      <c r="DG898" s="84"/>
      <c r="DK898" s="84"/>
      <c r="DO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5"/>
      <c r="AM899" s="84"/>
      <c r="AN899" s="84"/>
      <c r="AP899" s="84"/>
      <c r="AU899" s="84"/>
      <c r="AY899" s="86"/>
      <c r="BE899" s="84"/>
      <c r="BJ899" s="84"/>
      <c r="BO899" s="84"/>
      <c r="BT899" s="84"/>
      <c r="BY899" s="84"/>
      <c r="CC899" s="84"/>
      <c r="CG899" s="84"/>
      <c r="CK899" s="85"/>
      <c r="CL899" s="85"/>
      <c r="CM899" s="84"/>
      <c r="CO899" s="84"/>
      <c r="CT899" s="84"/>
      <c r="CY899" s="84"/>
      <c r="DC899" s="84"/>
      <c r="DG899" s="84"/>
      <c r="DK899" s="84"/>
      <c r="DO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5"/>
      <c r="AM900" s="84"/>
      <c r="AN900" s="84"/>
      <c r="AP900" s="84"/>
      <c r="AU900" s="84"/>
      <c r="AY900" s="86"/>
      <c r="BE900" s="84"/>
      <c r="BJ900" s="84"/>
      <c r="BO900" s="84"/>
      <c r="BT900" s="84"/>
      <c r="BY900" s="84"/>
      <c r="CC900" s="84"/>
      <c r="CG900" s="84"/>
      <c r="CK900" s="85"/>
      <c r="CL900" s="85"/>
      <c r="CM900" s="84"/>
      <c r="CO900" s="84"/>
      <c r="CT900" s="84"/>
      <c r="CY900" s="84"/>
      <c r="DC900" s="84"/>
      <c r="DG900" s="84"/>
      <c r="DK900" s="84"/>
      <c r="DO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5"/>
      <c r="AM901" s="84"/>
      <c r="AN901" s="84"/>
      <c r="AP901" s="84"/>
      <c r="AU901" s="84"/>
      <c r="AY901" s="86"/>
      <c r="BE901" s="84"/>
      <c r="BJ901" s="84"/>
      <c r="BO901" s="84"/>
      <c r="BT901" s="84"/>
      <c r="BY901" s="84"/>
      <c r="CC901" s="84"/>
      <c r="CG901" s="84"/>
      <c r="CK901" s="85"/>
      <c r="CL901" s="85"/>
      <c r="CM901" s="84"/>
      <c r="CO901" s="84"/>
      <c r="CT901" s="84"/>
      <c r="CY901" s="84"/>
      <c r="DC901" s="84"/>
      <c r="DG901" s="84"/>
      <c r="DK901" s="84"/>
      <c r="DO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5"/>
      <c r="AM902" s="84"/>
      <c r="AN902" s="84"/>
      <c r="AP902" s="84"/>
      <c r="AU902" s="84"/>
      <c r="AY902" s="86"/>
      <c r="BE902" s="84"/>
      <c r="BJ902" s="84"/>
      <c r="BO902" s="84"/>
      <c r="BT902" s="84"/>
      <c r="BY902" s="84"/>
      <c r="CC902" s="84"/>
      <c r="CG902" s="84"/>
      <c r="CK902" s="85"/>
      <c r="CL902" s="85"/>
      <c r="CM902" s="84"/>
      <c r="CO902" s="84"/>
      <c r="CT902" s="84"/>
      <c r="CY902" s="84"/>
      <c r="DC902" s="84"/>
      <c r="DG902" s="84"/>
      <c r="DK902" s="84"/>
      <c r="DO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5"/>
      <c r="AM903" s="84"/>
      <c r="AN903" s="84"/>
      <c r="AP903" s="84"/>
      <c r="AU903" s="84"/>
      <c r="AY903" s="86"/>
      <c r="BE903" s="84"/>
      <c r="BJ903" s="84"/>
      <c r="BO903" s="84"/>
      <c r="BT903" s="84"/>
      <c r="BY903" s="84"/>
      <c r="CC903" s="84"/>
      <c r="CG903" s="84"/>
      <c r="CK903" s="85"/>
      <c r="CL903" s="85"/>
      <c r="CM903" s="84"/>
      <c r="CO903" s="84"/>
      <c r="CT903" s="84"/>
      <c r="CY903" s="84"/>
      <c r="DC903" s="84"/>
      <c r="DG903" s="84"/>
      <c r="DK903" s="84"/>
      <c r="DO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5"/>
      <c r="AM904" s="84"/>
      <c r="AN904" s="84"/>
      <c r="AP904" s="84"/>
      <c r="AU904" s="84"/>
      <c r="AY904" s="86"/>
      <c r="BE904" s="84"/>
      <c r="BJ904" s="84"/>
      <c r="BO904" s="84"/>
      <c r="BT904" s="84"/>
      <c r="BY904" s="84"/>
      <c r="CC904" s="84"/>
      <c r="CG904" s="84"/>
      <c r="CK904" s="85"/>
      <c r="CL904" s="85"/>
      <c r="CM904" s="84"/>
      <c r="CO904" s="84"/>
      <c r="CT904" s="84"/>
      <c r="CY904" s="84"/>
      <c r="DC904" s="84"/>
      <c r="DG904" s="84"/>
      <c r="DK904" s="84"/>
      <c r="DO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5"/>
      <c r="AM905" s="84"/>
      <c r="AN905" s="84"/>
      <c r="AP905" s="84"/>
      <c r="AU905" s="84"/>
      <c r="AY905" s="86"/>
      <c r="BE905" s="84"/>
      <c r="BJ905" s="84"/>
      <c r="BO905" s="84"/>
      <c r="BT905" s="84"/>
      <c r="BY905" s="84"/>
      <c r="CC905" s="84"/>
      <c r="CG905" s="84"/>
      <c r="CK905" s="85"/>
      <c r="CL905" s="85"/>
      <c r="CM905" s="84"/>
      <c r="CO905" s="84"/>
      <c r="CT905" s="84"/>
      <c r="CY905" s="84"/>
      <c r="DC905" s="84"/>
      <c r="DG905" s="84"/>
      <c r="DK905" s="84"/>
      <c r="DO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5"/>
      <c r="AM906" s="84"/>
      <c r="AN906" s="84"/>
      <c r="AP906" s="84"/>
      <c r="AU906" s="84"/>
      <c r="AY906" s="86"/>
      <c r="BE906" s="84"/>
      <c r="BJ906" s="84"/>
      <c r="BO906" s="84"/>
      <c r="BT906" s="84"/>
      <c r="BY906" s="84"/>
      <c r="CC906" s="84"/>
      <c r="CG906" s="84"/>
      <c r="CK906" s="85"/>
      <c r="CL906" s="85"/>
      <c r="CM906" s="84"/>
      <c r="CO906" s="84"/>
      <c r="CT906" s="84"/>
      <c r="CY906" s="84"/>
      <c r="DC906" s="84"/>
      <c r="DG906" s="84"/>
      <c r="DK906" s="84"/>
      <c r="DO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5"/>
      <c r="AM907" s="84"/>
      <c r="AN907" s="84"/>
      <c r="AP907" s="84"/>
      <c r="AU907" s="84"/>
      <c r="AY907" s="86"/>
      <c r="BE907" s="84"/>
      <c r="BJ907" s="84"/>
      <c r="BO907" s="84"/>
      <c r="BT907" s="84"/>
      <c r="BY907" s="84"/>
      <c r="CC907" s="84"/>
      <c r="CG907" s="84"/>
      <c r="CK907" s="85"/>
      <c r="CL907" s="85"/>
      <c r="CM907" s="84"/>
      <c r="CO907" s="84"/>
      <c r="CT907" s="84"/>
      <c r="CY907" s="84"/>
      <c r="DC907" s="84"/>
      <c r="DG907" s="84"/>
      <c r="DK907" s="84"/>
      <c r="DO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5"/>
      <c r="AM908" s="84"/>
      <c r="AN908" s="84"/>
      <c r="AP908" s="84"/>
      <c r="AU908" s="84"/>
      <c r="AY908" s="86"/>
      <c r="BE908" s="84"/>
      <c r="BJ908" s="84"/>
      <c r="BO908" s="84"/>
      <c r="BT908" s="84"/>
      <c r="BY908" s="84"/>
      <c r="CC908" s="84"/>
      <c r="CG908" s="84"/>
      <c r="CK908" s="85"/>
      <c r="CL908" s="85"/>
      <c r="CM908" s="84"/>
      <c r="CO908" s="84"/>
      <c r="CT908" s="84"/>
      <c r="CY908" s="84"/>
      <c r="DC908" s="84"/>
      <c r="DG908" s="84"/>
      <c r="DK908" s="84"/>
      <c r="DO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5"/>
      <c r="AM909" s="84"/>
      <c r="AN909" s="84"/>
      <c r="AP909" s="84"/>
      <c r="AU909" s="84"/>
      <c r="AY909" s="86"/>
      <c r="BE909" s="84"/>
      <c r="BJ909" s="84"/>
      <c r="BO909" s="84"/>
      <c r="BT909" s="84"/>
      <c r="BY909" s="84"/>
      <c r="CC909" s="84"/>
      <c r="CG909" s="84"/>
      <c r="CK909" s="85"/>
      <c r="CL909" s="85"/>
      <c r="CM909" s="84"/>
      <c r="CO909" s="84"/>
      <c r="CT909" s="84"/>
      <c r="CY909" s="84"/>
      <c r="DC909" s="84"/>
      <c r="DG909" s="84"/>
      <c r="DK909" s="84"/>
      <c r="DO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5"/>
      <c r="AM910" s="84"/>
      <c r="AN910" s="84"/>
      <c r="AP910" s="84"/>
      <c r="AU910" s="84"/>
      <c r="AY910" s="86"/>
      <c r="BE910" s="84"/>
      <c r="BJ910" s="84"/>
      <c r="BO910" s="84"/>
      <c r="BT910" s="84"/>
      <c r="BY910" s="84"/>
      <c r="CC910" s="84"/>
      <c r="CG910" s="84"/>
      <c r="CK910" s="85"/>
      <c r="CL910" s="85"/>
      <c r="CM910" s="84"/>
      <c r="CO910" s="84"/>
      <c r="CT910" s="84"/>
      <c r="CY910" s="84"/>
      <c r="DC910" s="84"/>
      <c r="DG910" s="84"/>
      <c r="DK910" s="84"/>
      <c r="DO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5"/>
      <c r="AM911" s="84"/>
      <c r="AN911" s="84"/>
      <c r="AP911" s="84"/>
      <c r="AU911" s="84"/>
      <c r="AY911" s="86"/>
      <c r="BE911" s="84"/>
      <c r="BJ911" s="84"/>
      <c r="BO911" s="84"/>
      <c r="BT911" s="84"/>
      <c r="BY911" s="84"/>
      <c r="CC911" s="84"/>
      <c r="CG911" s="84"/>
      <c r="CK911" s="85"/>
      <c r="CL911" s="85"/>
      <c r="CM911" s="84"/>
      <c r="CO911" s="84"/>
      <c r="CT911" s="84"/>
      <c r="CY911" s="84"/>
      <c r="DC911" s="84"/>
      <c r="DG911" s="84"/>
      <c r="DK911" s="84"/>
      <c r="DO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5"/>
      <c r="AM912" s="84"/>
      <c r="AN912" s="84"/>
      <c r="AP912" s="84"/>
      <c r="AU912" s="84"/>
      <c r="AY912" s="86"/>
      <c r="BE912" s="84"/>
      <c r="BJ912" s="84"/>
      <c r="BO912" s="84"/>
      <c r="BT912" s="84"/>
      <c r="BY912" s="84"/>
      <c r="CC912" s="84"/>
      <c r="CG912" s="84"/>
      <c r="CK912" s="85"/>
      <c r="CL912" s="85"/>
      <c r="CM912" s="84"/>
      <c r="CO912" s="84"/>
      <c r="CT912" s="84"/>
      <c r="CY912" s="84"/>
      <c r="DC912" s="84"/>
      <c r="DG912" s="84"/>
      <c r="DK912" s="84"/>
      <c r="DO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5"/>
      <c r="AM913" s="84"/>
      <c r="AN913" s="84"/>
      <c r="AP913" s="84"/>
      <c r="AU913" s="84"/>
      <c r="AY913" s="86"/>
      <c r="BE913" s="84"/>
      <c r="BJ913" s="84"/>
      <c r="BO913" s="84"/>
      <c r="BT913" s="84"/>
      <c r="BY913" s="84"/>
      <c r="CC913" s="84"/>
      <c r="CG913" s="84"/>
      <c r="CK913" s="85"/>
      <c r="CL913" s="85"/>
      <c r="CM913" s="84"/>
      <c r="CO913" s="84"/>
      <c r="CT913" s="84"/>
      <c r="CY913" s="84"/>
      <c r="DC913" s="84"/>
      <c r="DG913" s="84"/>
      <c r="DK913" s="84"/>
      <c r="DO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5"/>
      <c r="AM914" s="84"/>
      <c r="AN914" s="84"/>
      <c r="AP914" s="84"/>
      <c r="AU914" s="84"/>
      <c r="AY914" s="86"/>
      <c r="BE914" s="84"/>
      <c r="BJ914" s="84"/>
      <c r="BO914" s="84"/>
      <c r="BT914" s="84"/>
      <c r="BY914" s="84"/>
      <c r="CC914" s="84"/>
      <c r="CG914" s="84"/>
      <c r="CK914" s="85"/>
      <c r="CL914" s="85"/>
      <c r="CM914" s="84"/>
      <c r="CO914" s="84"/>
      <c r="CT914" s="84"/>
      <c r="CY914" s="84"/>
      <c r="DC914" s="84"/>
      <c r="DG914" s="84"/>
      <c r="DK914" s="84"/>
      <c r="DO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5"/>
      <c r="AM915" s="84"/>
      <c r="AN915" s="84"/>
      <c r="AP915" s="84"/>
      <c r="AU915" s="84"/>
      <c r="AY915" s="86"/>
      <c r="BE915" s="84"/>
      <c r="BJ915" s="84"/>
      <c r="BO915" s="84"/>
      <c r="BT915" s="84"/>
      <c r="BY915" s="84"/>
      <c r="CC915" s="84"/>
      <c r="CG915" s="84"/>
      <c r="CK915" s="85"/>
      <c r="CL915" s="85"/>
      <c r="CM915" s="84"/>
      <c r="CO915" s="84"/>
      <c r="CT915" s="84"/>
      <c r="CY915" s="84"/>
      <c r="DC915" s="84"/>
      <c r="DG915" s="84"/>
      <c r="DK915" s="84"/>
      <c r="DO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5"/>
      <c r="AM916" s="84"/>
      <c r="AN916" s="84"/>
      <c r="AP916" s="84"/>
      <c r="AU916" s="84"/>
      <c r="AY916" s="86"/>
      <c r="BE916" s="84"/>
      <c r="BJ916" s="84"/>
      <c r="BO916" s="84"/>
      <c r="BT916" s="84"/>
      <c r="BY916" s="84"/>
      <c r="CC916" s="84"/>
      <c r="CG916" s="84"/>
      <c r="CK916" s="85"/>
      <c r="CL916" s="85"/>
      <c r="CM916" s="84"/>
      <c r="CO916" s="84"/>
      <c r="CT916" s="84"/>
      <c r="CY916" s="84"/>
      <c r="DC916" s="84"/>
      <c r="DG916" s="84"/>
      <c r="DK916" s="84"/>
      <c r="DO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5"/>
      <c r="AM917" s="84"/>
      <c r="AN917" s="84"/>
      <c r="AP917" s="84"/>
      <c r="AU917" s="84"/>
      <c r="AY917" s="86"/>
      <c r="BE917" s="84"/>
      <c r="BJ917" s="84"/>
      <c r="BO917" s="84"/>
      <c r="BT917" s="84"/>
      <c r="BY917" s="84"/>
      <c r="CC917" s="84"/>
      <c r="CG917" s="84"/>
      <c r="CK917" s="85"/>
      <c r="CL917" s="85"/>
      <c r="CM917" s="84"/>
      <c r="CO917" s="84"/>
      <c r="CT917" s="84"/>
      <c r="CY917" s="84"/>
      <c r="DC917" s="84"/>
      <c r="DG917" s="84"/>
      <c r="DK917" s="84"/>
      <c r="DO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5"/>
      <c r="AM918" s="84"/>
      <c r="AN918" s="84"/>
      <c r="AP918" s="84"/>
      <c r="AU918" s="84"/>
      <c r="AY918" s="86"/>
      <c r="BE918" s="84"/>
      <c r="BJ918" s="84"/>
      <c r="BO918" s="84"/>
      <c r="BT918" s="84"/>
      <c r="BY918" s="84"/>
      <c r="CC918" s="84"/>
      <c r="CG918" s="84"/>
      <c r="CK918" s="85"/>
      <c r="CL918" s="85"/>
      <c r="CM918" s="84"/>
      <c r="CO918" s="84"/>
      <c r="CT918" s="84"/>
      <c r="CY918" s="84"/>
      <c r="DC918" s="84"/>
      <c r="DG918" s="84"/>
      <c r="DK918" s="84"/>
      <c r="DO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5"/>
      <c r="AM919" s="84"/>
      <c r="AN919" s="84"/>
      <c r="AP919" s="84"/>
      <c r="AU919" s="84"/>
      <c r="AY919" s="86"/>
      <c r="BE919" s="84"/>
      <c r="BJ919" s="84"/>
      <c r="BO919" s="84"/>
      <c r="BT919" s="84"/>
      <c r="BY919" s="84"/>
      <c r="CC919" s="84"/>
      <c r="CG919" s="84"/>
      <c r="CK919" s="85"/>
      <c r="CL919" s="85"/>
      <c r="CM919" s="84"/>
      <c r="CO919" s="84"/>
      <c r="CT919" s="84"/>
      <c r="CY919" s="84"/>
      <c r="DC919" s="84"/>
      <c r="DG919" s="84"/>
      <c r="DK919" s="84"/>
      <c r="DO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5"/>
      <c r="AM920" s="84"/>
      <c r="AN920" s="84"/>
      <c r="AP920" s="84"/>
      <c r="AU920" s="84"/>
      <c r="AY920" s="86"/>
      <c r="BE920" s="84"/>
      <c r="BJ920" s="84"/>
      <c r="BO920" s="84"/>
      <c r="BT920" s="84"/>
      <c r="BY920" s="84"/>
      <c r="CC920" s="84"/>
      <c r="CG920" s="84"/>
      <c r="CK920" s="85"/>
      <c r="CL920" s="85"/>
      <c r="CM920" s="84"/>
      <c r="CO920" s="84"/>
      <c r="CT920" s="84"/>
      <c r="CY920" s="84"/>
      <c r="DC920" s="84"/>
      <c r="DG920" s="84"/>
      <c r="DK920" s="84"/>
      <c r="DO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5"/>
      <c r="AM921" s="84"/>
      <c r="AN921" s="84"/>
      <c r="AP921" s="84"/>
      <c r="AU921" s="84"/>
      <c r="AY921" s="86"/>
      <c r="BE921" s="84"/>
      <c r="BJ921" s="84"/>
      <c r="BO921" s="84"/>
      <c r="BT921" s="84"/>
      <c r="BY921" s="84"/>
      <c r="CC921" s="84"/>
      <c r="CG921" s="84"/>
      <c r="CK921" s="85"/>
      <c r="CL921" s="85"/>
      <c r="CM921" s="84"/>
      <c r="CO921" s="84"/>
      <c r="CT921" s="84"/>
      <c r="CY921" s="84"/>
      <c r="DC921" s="84"/>
      <c r="DG921" s="84"/>
      <c r="DK921" s="84"/>
      <c r="DO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5"/>
      <c r="AM922" s="84"/>
      <c r="AN922" s="84"/>
      <c r="AP922" s="84"/>
      <c r="AU922" s="84"/>
      <c r="AY922" s="86"/>
      <c r="BE922" s="84"/>
      <c r="BJ922" s="84"/>
      <c r="BO922" s="84"/>
      <c r="BT922" s="84"/>
      <c r="BY922" s="84"/>
      <c r="CC922" s="84"/>
      <c r="CG922" s="84"/>
      <c r="CK922" s="85"/>
      <c r="CL922" s="85"/>
      <c r="CM922" s="84"/>
      <c r="CO922" s="84"/>
      <c r="CT922" s="84"/>
      <c r="CY922" s="84"/>
      <c r="DC922" s="84"/>
      <c r="DG922" s="84"/>
      <c r="DK922" s="84"/>
      <c r="DO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5"/>
      <c r="AM923" s="84"/>
      <c r="AN923" s="84"/>
      <c r="AP923" s="84"/>
      <c r="AU923" s="84"/>
      <c r="AY923" s="86"/>
      <c r="BE923" s="84"/>
      <c r="BJ923" s="84"/>
      <c r="BO923" s="84"/>
      <c r="BT923" s="84"/>
      <c r="BY923" s="84"/>
      <c r="CC923" s="84"/>
      <c r="CG923" s="84"/>
      <c r="CK923" s="85"/>
      <c r="CL923" s="85"/>
      <c r="CM923" s="84"/>
      <c r="CO923" s="84"/>
      <c r="CT923" s="84"/>
      <c r="CY923" s="84"/>
      <c r="DC923" s="84"/>
      <c r="DG923" s="84"/>
      <c r="DK923" s="84"/>
      <c r="DO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5"/>
      <c r="AM924" s="84"/>
      <c r="AN924" s="84"/>
      <c r="AP924" s="84"/>
      <c r="AU924" s="84"/>
      <c r="AY924" s="86"/>
      <c r="BE924" s="84"/>
      <c r="BJ924" s="84"/>
      <c r="BO924" s="84"/>
      <c r="BT924" s="84"/>
      <c r="BY924" s="84"/>
      <c r="CC924" s="84"/>
      <c r="CG924" s="84"/>
      <c r="CK924" s="85"/>
      <c r="CL924" s="85"/>
      <c r="CM924" s="84"/>
      <c r="CO924" s="84"/>
      <c r="CT924" s="84"/>
      <c r="CY924" s="84"/>
      <c r="DC924" s="84"/>
      <c r="DG924" s="84"/>
      <c r="DK924" s="84"/>
      <c r="DO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5"/>
      <c r="AM925" s="84"/>
      <c r="AN925" s="84"/>
      <c r="AP925" s="84"/>
      <c r="AU925" s="84"/>
      <c r="AY925" s="86"/>
      <c r="BE925" s="84"/>
      <c r="BJ925" s="84"/>
      <c r="BO925" s="84"/>
      <c r="BT925" s="84"/>
      <c r="BY925" s="84"/>
      <c r="CC925" s="84"/>
      <c r="CG925" s="84"/>
      <c r="CK925" s="85"/>
      <c r="CL925" s="85"/>
      <c r="CM925" s="84"/>
      <c r="CO925" s="84"/>
      <c r="CT925" s="84"/>
      <c r="CY925" s="84"/>
      <c r="DC925" s="84"/>
      <c r="DG925" s="84"/>
      <c r="DK925" s="84"/>
      <c r="DO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5"/>
      <c r="AM926" s="84"/>
      <c r="AN926" s="84"/>
      <c r="AP926" s="84"/>
      <c r="AU926" s="84"/>
      <c r="AY926" s="86"/>
      <c r="BE926" s="84"/>
      <c r="BJ926" s="84"/>
      <c r="BO926" s="84"/>
      <c r="BT926" s="84"/>
      <c r="BY926" s="84"/>
      <c r="CC926" s="84"/>
      <c r="CG926" s="84"/>
      <c r="CK926" s="85"/>
      <c r="CL926" s="85"/>
      <c r="CM926" s="84"/>
      <c r="CO926" s="84"/>
      <c r="CT926" s="84"/>
      <c r="CY926" s="84"/>
      <c r="DC926" s="84"/>
      <c r="DG926" s="84"/>
      <c r="DK926" s="84"/>
      <c r="DO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5"/>
      <c r="AM927" s="84"/>
      <c r="AN927" s="84"/>
      <c r="AP927" s="84"/>
      <c r="AU927" s="84"/>
      <c r="AY927" s="86"/>
      <c r="BE927" s="84"/>
      <c r="BJ927" s="84"/>
      <c r="BO927" s="84"/>
      <c r="BT927" s="84"/>
      <c r="BY927" s="84"/>
      <c r="CC927" s="84"/>
      <c r="CG927" s="84"/>
      <c r="CK927" s="85"/>
      <c r="CL927" s="85"/>
      <c r="CM927" s="84"/>
      <c r="CO927" s="84"/>
      <c r="CT927" s="84"/>
      <c r="CY927" s="84"/>
      <c r="DC927" s="84"/>
      <c r="DG927" s="84"/>
      <c r="DK927" s="84"/>
      <c r="DO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5"/>
      <c r="AM928" s="84"/>
      <c r="AN928" s="84"/>
      <c r="AP928" s="84"/>
      <c r="AU928" s="84"/>
      <c r="AY928" s="86"/>
      <c r="BE928" s="84"/>
      <c r="BJ928" s="84"/>
      <c r="BO928" s="84"/>
      <c r="BT928" s="84"/>
      <c r="BY928" s="84"/>
      <c r="CC928" s="84"/>
      <c r="CG928" s="84"/>
      <c r="CK928" s="85"/>
      <c r="CL928" s="85"/>
      <c r="CM928" s="84"/>
      <c r="CO928" s="84"/>
      <c r="CT928" s="84"/>
      <c r="CY928" s="84"/>
      <c r="DC928" s="84"/>
      <c r="DG928" s="84"/>
      <c r="DK928" s="84"/>
      <c r="DO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5"/>
      <c r="AM929" s="84"/>
      <c r="AN929" s="84"/>
      <c r="AP929" s="84"/>
      <c r="AU929" s="84"/>
      <c r="AY929" s="86"/>
      <c r="BE929" s="84"/>
      <c r="BJ929" s="84"/>
      <c r="BO929" s="84"/>
      <c r="BT929" s="84"/>
      <c r="BY929" s="84"/>
      <c r="CC929" s="84"/>
      <c r="CG929" s="84"/>
      <c r="CK929" s="85"/>
      <c r="CL929" s="85"/>
      <c r="CM929" s="84"/>
      <c r="CO929" s="84"/>
      <c r="CT929" s="84"/>
      <c r="CY929" s="84"/>
      <c r="DC929" s="84"/>
      <c r="DG929" s="84"/>
      <c r="DK929" s="84"/>
      <c r="DO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5"/>
      <c r="AM930" s="84"/>
      <c r="AN930" s="84"/>
      <c r="AP930" s="84"/>
      <c r="AU930" s="84"/>
      <c r="AY930" s="86"/>
      <c r="BE930" s="84"/>
      <c r="BJ930" s="84"/>
      <c r="BO930" s="84"/>
      <c r="BT930" s="84"/>
      <c r="BY930" s="84"/>
      <c r="CC930" s="84"/>
      <c r="CG930" s="84"/>
      <c r="CK930" s="85"/>
      <c r="CL930" s="85"/>
      <c r="CM930" s="84"/>
      <c r="CO930" s="84"/>
      <c r="CT930" s="84"/>
      <c r="CY930" s="84"/>
      <c r="DC930" s="84"/>
      <c r="DG930" s="84"/>
      <c r="DK930" s="84"/>
      <c r="DO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5"/>
      <c r="AM931" s="84"/>
      <c r="AN931" s="84"/>
      <c r="AP931" s="84"/>
      <c r="AU931" s="84"/>
      <c r="AY931" s="86"/>
      <c r="BE931" s="84"/>
      <c r="BJ931" s="84"/>
      <c r="BO931" s="84"/>
      <c r="BT931" s="84"/>
      <c r="BY931" s="84"/>
      <c r="CC931" s="84"/>
      <c r="CG931" s="84"/>
      <c r="CK931" s="85"/>
      <c r="CL931" s="85"/>
      <c r="CM931" s="84"/>
      <c r="CO931" s="84"/>
      <c r="CT931" s="84"/>
      <c r="CY931" s="84"/>
      <c r="DC931" s="84"/>
      <c r="DG931" s="84"/>
      <c r="DK931" s="84"/>
      <c r="DO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5"/>
      <c r="AM932" s="84"/>
      <c r="AN932" s="84"/>
      <c r="AP932" s="84"/>
      <c r="AU932" s="84"/>
      <c r="AY932" s="86"/>
      <c r="BE932" s="84"/>
      <c r="BJ932" s="84"/>
      <c r="BO932" s="84"/>
      <c r="BT932" s="84"/>
      <c r="BY932" s="84"/>
      <c r="CC932" s="84"/>
      <c r="CG932" s="84"/>
      <c r="CK932" s="85"/>
      <c r="CL932" s="85"/>
      <c r="CM932" s="84"/>
      <c r="CO932" s="84"/>
      <c r="CT932" s="84"/>
      <c r="CY932" s="84"/>
      <c r="DC932" s="84"/>
      <c r="DG932" s="84"/>
      <c r="DK932" s="84"/>
      <c r="DO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5"/>
      <c r="AM933" s="84"/>
      <c r="AN933" s="84"/>
      <c r="AP933" s="84"/>
      <c r="AU933" s="84"/>
      <c r="AY933" s="86"/>
      <c r="BE933" s="84"/>
      <c r="BJ933" s="84"/>
      <c r="BO933" s="84"/>
      <c r="BT933" s="84"/>
      <c r="BY933" s="84"/>
      <c r="CC933" s="84"/>
      <c r="CG933" s="84"/>
      <c r="CK933" s="85"/>
      <c r="CL933" s="85"/>
      <c r="CM933" s="84"/>
      <c r="CO933" s="84"/>
      <c r="CT933" s="84"/>
      <c r="CY933" s="84"/>
      <c r="DC933" s="84"/>
      <c r="DG933" s="84"/>
      <c r="DK933" s="84"/>
      <c r="DO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5"/>
      <c r="AM934" s="84"/>
      <c r="AN934" s="84"/>
      <c r="AP934" s="84"/>
      <c r="AU934" s="84"/>
      <c r="AY934" s="86"/>
      <c r="BE934" s="84"/>
      <c r="BJ934" s="84"/>
      <c r="BO934" s="84"/>
      <c r="BT934" s="84"/>
      <c r="BY934" s="84"/>
      <c r="CC934" s="84"/>
      <c r="CG934" s="84"/>
      <c r="CK934" s="85"/>
      <c r="CL934" s="85"/>
      <c r="CM934" s="84"/>
      <c r="CO934" s="84"/>
      <c r="CT934" s="84"/>
      <c r="CY934" s="84"/>
      <c r="DC934" s="84"/>
      <c r="DG934" s="84"/>
      <c r="DK934" s="84"/>
      <c r="DO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5"/>
      <c r="AM935" s="84"/>
      <c r="AN935" s="84"/>
      <c r="AP935" s="84"/>
      <c r="AU935" s="84"/>
      <c r="AY935" s="86"/>
      <c r="BE935" s="84"/>
      <c r="BJ935" s="84"/>
      <c r="BO935" s="84"/>
      <c r="BT935" s="84"/>
      <c r="BY935" s="84"/>
      <c r="CC935" s="84"/>
      <c r="CG935" s="84"/>
      <c r="CK935" s="85"/>
      <c r="CL935" s="85"/>
      <c r="CM935" s="84"/>
      <c r="CO935" s="84"/>
      <c r="CT935" s="84"/>
      <c r="CY935" s="84"/>
      <c r="DC935" s="84"/>
      <c r="DG935" s="84"/>
      <c r="DK935" s="84"/>
      <c r="DO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5"/>
      <c r="AM936" s="84"/>
      <c r="AN936" s="84"/>
      <c r="AP936" s="84"/>
      <c r="AU936" s="84"/>
      <c r="AY936" s="86"/>
      <c r="BE936" s="84"/>
      <c r="BJ936" s="84"/>
      <c r="BO936" s="84"/>
      <c r="BT936" s="84"/>
      <c r="BY936" s="84"/>
      <c r="CC936" s="84"/>
      <c r="CG936" s="84"/>
      <c r="CK936" s="85"/>
      <c r="CL936" s="85"/>
      <c r="CM936" s="84"/>
      <c r="CO936" s="84"/>
      <c r="CT936" s="84"/>
      <c r="CY936" s="84"/>
      <c r="DC936" s="84"/>
      <c r="DG936" s="84"/>
      <c r="DK936" s="84"/>
      <c r="DO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5"/>
      <c r="AM937" s="84"/>
      <c r="AN937" s="84"/>
      <c r="AP937" s="84"/>
      <c r="AU937" s="84"/>
      <c r="AY937" s="86"/>
      <c r="BE937" s="84"/>
      <c r="BJ937" s="84"/>
      <c r="BO937" s="84"/>
      <c r="BT937" s="84"/>
      <c r="BY937" s="84"/>
      <c r="CC937" s="84"/>
      <c r="CG937" s="84"/>
      <c r="CK937" s="85"/>
      <c r="CL937" s="85"/>
      <c r="CM937" s="84"/>
      <c r="CO937" s="84"/>
      <c r="CT937" s="84"/>
      <c r="CY937" s="84"/>
      <c r="DC937" s="84"/>
      <c r="DG937" s="84"/>
      <c r="DK937" s="84"/>
      <c r="DO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5"/>
      <c r="AM938" s="84"/>
      <c r="AN938" s="84"/>
      <c r="AP938" s="84"/>
      <c r="AU938" s="84"/>
      <c r="AY938" s="86"/>
      <c r="BE938" s="84"/>
      <c r="BJ938" s="84"/>
      <c r="BO938" s="84"/>
      <c r="BT938" s="84"/>
      <c r="BY938" s="84"/>
      <c r="CC938" s="84"/>
      <c r="CG938" s="84"/>
      <c r="CK938" s="85"/>
      <c r="CL938" s="85"/>
      <c r="CM938" s="84"/>
      <c r="CO938" s="84"/>
      <c r="CT938" s="84"/>
      <c r="CY938" s="84"/>
      <c r="DC938" s="84"/>
      <c r="DG938" s="84"/>
      <c r="DK938" s="84"/>
      <c r="DO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5"/>
      <c r="AM939" s="84"/>
      <c r="AN939" s="84"/>
      <c r="AP939" s="84"/>
      <c r="AU939" s="84"/>
      <c r="AY939" s="86"/>
      <c r="BE939" s="84"/>
      <c r="BJ939" s="84"/>
      <c r="BO939" s="84"/>
      <c r="BT939" s="84"/>
      <c r="BY939" s="84"/>
      <c r="CC939" s="84"/>
      <c r="CG939" s="84"/>
      <c r="CK939" s="85"/>
      <c r="CL939" s="85"/>
      <c r="CM939" s="84"/>
      <c r="CO939" s="84"/>
      <c r="CT939" s="84"/>
      <c r="CY939" s="84"/>
      <c r="DC939" s="84"/>
      <c r="DG939" s="84"/>
      <c r="DK939" s="84"/>
      <c r="DO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5"/>
      <c r="AM940" s="84"/>
      <c r="AN940" s="84"/>
      <c r="AP940" s="84"/>
      <c r="AU940" s="84"/>
      <c r="AY940" s="86"/>
      <c r="BE940" s="84"/>
      <c r="BJ940" s="84"/>
      <c r="BO940" s="84"/>
      <c r="BT940" s="84"/>
      <c r="BY940" s="84"/>
      <c r="CC940" s="84"/>
      <c r="CG940" s="84"/>
      <c r="CK940" s="85"/>
      <c r="CL940" s="85"/>
      <c r="CM940" s="84"/>
      <c r="CO940" s="84"/>
      <c r="CT940" s="84"/>
      <c r="CY940" s="84"/>
      <c r="DC940" s="84"/>
      <c r="DG940" s="84"/>
      <c r="DK940" s="84"/>
      <c r="DO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5"/>
      <c r="AM941" s="84"/>
      <c r="AN941" s="84"/>
      <c r="AP941" s="84"/>
      <c r="AU941" s="84"/>
      <c r="AY941" s="86"/>
      <c r="BE941" s="84"/>
      <c r="BJ941" s="84"/>
      <c r="BO941" s="84"/>
      <c r="BT941" s="84"/>
      <c r="BY941" s="84"/>
      <c r="CC941" s="84"/>
      <c r="CG941" s="84"/>
      <c r="CK941" s="85"/>
      <c r="CL941" s="85"/>
      <c r="CM941" s="84"/>
      <c r="CO941" s="84"/>
      <c r="CT941" s="84"/>
      <c r="CY941" s="84"/>
      <c r="DC941" s="84"/>
      <c r="DG941" s="84"/>
      <c r="DK941" s="84"/>
      <c r="DO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5"/>
      <c r="AM942" s="84"/>
      <c r="AN942" s="84"/>
      <c r="AP942" s="84"/>
      <c r="AU942" s="84"/>
      <c r="AY942" s="86"/>
      <c r="BE942" s="84"/>
      <c r="BJ942" s="84"/>
      <c r="BO942" s="84"/>
      <c r="BT942" s="84"/>
      <c r="BY942" s="84"/>
      <c r="CC942" s="84"/>
      <c r="CG942" s="84"/>
      <c r="CK942" s="85"/>
      <c r="CL942" s="85"/>
      <c r="CM942" s="84"/>
      <c r="CO942" s="84"/>
      <c r="CT942" s="84"/>
      <c r="CY942" s="84"/>
      <c r="DC942" s="84"/>
      <c r="DG942" s="84"/>
      <c r="DK942" s="84"/>
      <c r="DO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5"/>
      <c r="AM943" s="84"/>
      <c r="AN943" s="84"/>
      <c r="AP943" s="84"/>
      <c r="AU943" s="84"/>
      <c r="AY943" s="86"/>
      <c r="BE943" s="84"/>
      <c r="BJ943" s="84"/>
      <c r="BO943" s="84"/>
      <c r="BT943" s="84"/>
      <c r="BY943" s="84"/>
      <c r="CC943" s="84"/>
      <c r="CG943" s="84"/>
      <c r="CK943" s="85"/>
      <c r="CL943" s="85"/>
      <c r="CM943" s="84"/>
      <c r="CO943" s="84"/>
      <c r="CT943" s="84"/>
      <c r="CY943" s="84"/>
      <c r="DC943" s="84"/>
      <c r="DG943" s="84"/>
      <c r="DK943" s="84"/>
      <c r="DO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5"/>
      <c r="AM944" s="84"/>
      <c r="AN944" s="84"/>
      <c r="AP944" s="84"/>
      <c r="AU944" s="84"/>
      <c r="AY944" s="86"/>
      <c r="BE944" s="84"/>
      <c r="BJ944" s="84"/>
      <c r="BO944" s="84"/>
      <c r="BT944" s="84"/>
      <c r="BY944" s="84"/>
      <c r="CC944" s="84"/>
      <c r="CG944" s="84"/>
      <c r="CK944" s="85"/>
      <c r="CL944" s="85"/>
      <c r="CM944" s="84"/>
      <c r="CO944" s="84"/>
      <c r="CT944" s="84"/>
      <c r="CY944" s="84"/>
      <c r="DC944" s="84"/>
      <c r="DG944" s="84"/>
      <c r="DK944" s="84"/>
      <c r="DO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5"/>
      <c r="AM945" s="84"/>
      <c r="AN945" s="84"/>
      <c r="AP945" s="84"/>
      <c r="AU945" s="84"/>
      <c r="AY945" s="86"/>
      <c r="BE945" s="84"/>
      <c r="BJ945" s="84"/>
      <c r="BO945" s="84"/>
      <c r="BT945" s="84"/>
      <c r="BY945" s="84"/>
      <c r="CC945" s="84"/>
      <c r="CG945" s="84"/>
      <c r="CK945" s="85"/>
      <c r="CL945" s="85"/>
      <c r="CM945" s="84"/>
      <c r="CO945" s="84"/>
      <c r="CT945" s="84"/>
      <c r="CY945" s="84"/>
      <c r="DC945" s="84"/>
      <c r="DG945" s="84"/>
      <c r="DK945" s="84"/>
      <c r="DO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5"/>
      <c r="AM946" s="84"/>
      <c r="AN946" s="84"/>
      <c r="AP946" s="84"/>
      <c r="AU946" s="84"/>
      <c r="AY946" s="86"/>
      <c r="BE946" s="84"/>
      <c r="BJ946" s="84"/>
      <c r="BO946" s="84"/>
      <c r="BT946" s="84"/>
      <c r="BY946" s="84"/>
      <c r="CC946" s="84"/>
      <c r="CG946" s="84"/>
      <c r="CK946" s="85"/>
      <c r="CL946" s="85"/>
      <c r="CM946" s="84"/>
      <c r="CO946" s="84"/>
      <c r="CT946" s="84"/>
      <c r="CY946" s="84"/>
      <c r="DC946" s="84"/>
      <c r="DG946" s="84"/>
      <c r="DK946" s="84"/>
      <c r="DO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5"/>
      <c r="AM947" s="84"/>
      <c r="AN947" s="84"/>
      <c r="AP947" s="84"/>
      <c r="AU947" s="84"/>
      <c r="AY947" s="86"/>
      <c r="BE947" s="84"/>
      <c r="BJ947" s="84"/>
      <c r="BO947" s="84"/>
      <c r="BT947" s="84"/>
      <c r="BY947" s="84"/>
      <c r="CC947" s="84"/>
      <c r="CG947" s="84"/>
      <c r="CK947" s="85"/>
      <c r="CL947" s="85"/>
      <c r="CM947" s="84"/>
      <c r="CO947" s="84"/>
      <c r="CT947" s="84"/>
      <c r="CY947" s="84"/>
      <c r="DC947" s="84"/>
      <c r="DG947" s="84"/>
      <c r="DK947" s="84"/>
      <c r="DO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5"/>
      <c r="AM948" s="84"/>
      <c r="AN948" s="84"/>
      <c r="AP948" s="84"/>
      <c r="AU948" s="84"/>
      <c r="AY948" s="86"/>
      <c r="BE948" s="84"/>
      <c r="BJ948" s="84"/>
      <c r="BO948" s="84"/>
      <c r="BT948" s="84"/>
      <c r="BY948" s="84"/>
      <c r="CC948" s="84"/>
      <c r="CG948" s="84"/>
      <c r="CK948" s="85"/>
      <c r="CL948" s="85"/>
      <c r="CM948" s="84"/>
      <c r="CO948" s="84"/>
      <c r="CT948" s="84"/>
      <c r="CY948" s="84"/>
      <c r="DC948" s="84"/>
      <c r="DG948" s="84"/>
      <c r="DK948" s="84"/>
      <c r="DO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5"/>
      <c r="AM949" s="84"/>
      <c r="AN949" s="84"/>
      <c r="AP949" s="84"/>
      <c r="AU949" s="84"/>
      <c r="AY949" s="86"/>
      <c r="BE949" s="84"/>
      <c r="BJ949" s="84"/>
      <c r="BO949" s="84"/>
      <c r="BT949" s="84"/>
      <c r="BY949" s="84"/>
      <c r="CC949" s="84"/>
      <c r="CG949" s="84"/>
      <c r="CK949" s="85"/>
      <c r="CL949" s="85"/>
      <c r="CM949" s="84"/>
      <c r="CO949" s="84"/>
      <c r="CT949" s="84"/>
      <c r="CY949" s="84"/>
      <c r="DC949" s="84"/>
      <c r="DG949" s="84"/>
      <c r="DK949" s="84"/>
      <c r="DO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5"/>
      <c r="AM950" s="84"/>
      <c r="AN950" s="84"/>
      <c r="AP950" s="84"/>
      <c r="AU950" s="84"/>
      <c r="AY950" s="86"/>
      <c r="BE950" s="84"/>
      <c r="BJ950" s="84"/>
      <c r="BO950" s="84"/>
      <c r="BT950" s="84"/>
      <c r="BY950" s="84"/>
      <c r="CC950" s="84"/>
      <c r="CG950" s="84"/>
      <c r="CK950" s="85"/>
      <c r="CL950" s="85"/>
      <c r="CM950" s="84"/>
      <c r="CO950" s="84"/>
      <c r="CT950" s="84"/>
      <c r="CY950" s="84"/>
      <c r="DC950" s="84"/>
      <c r="DG950" s="84"/>
      <c r="DK950" s="84"/>
      <c r="DO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5"/>
      <c r="AM951" s="84"/>
      <c r="AN951" s="84"/>
      <c r="AP951" s="84"/>
      <c r="AU951" s="84"/>
      <c r="AY951" s="86"/>
      <c r="BE951" s="84"/>
      <c r="BJ951" s="84"/>
      <c r="BO951" s="84"/>
      <c r="BT951" s="84"/>
      <c r="BY951" s="84"/>
      <c r="CC951" s="84"/>
      <c r="CG951" s="84"/>
      <c r="CK951" s="85"/>
      <c r="CL951" s="85"/>
      <c r="CM951" s="84"/>
      <c r="CO951" s="84"/>
      <c r="CT951" s="84"/>
      <c r="CY951" s="84"/>
      <c r="DC951" s="84"/>
      <c r="DG951" s="84"/>
      <c r="DK951" s="84"/>
      <c r="DO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5"/>
      <c r="AM952" s="84"/>
      <c r="AN952" s="84"/>
      <c r="AP952" s="84"/>
      <c r="AU952" s="84"/>
      <c r="AY952" s="86"/>
      <c r="BE952" s="84"/>
      <c r="BJ952" s="84"/>
      <c r="BO952" s="84"/>
      <c r="BT952" s="84"/>
      <c r="BY952" s="84"/>
      <c r="CC952" s="84"/>
      <c r="CG952" s="84"/>
      <c r="CK952" s="85"/>
      <c r="CL952" s="85"/>
      <c r="CM952" s="84"/>
      <c r="CO952" s="84"/>
      <c r="CT952" s="84"/>
      <c r="CY952" s="84"/>
      <c r="DC952" s="84"/>
      <c r="DG952" s="84"/>
      <c r="DK952" s="84"/>
      <c r="DO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5"/>
      <c r="AM953" s="84"/>
      <c r="AN953" s="84"/>
      <c r="AP953" s="84"/>
      <c r="AU953" s="84"/>
      <c r="AY953" s="86"/>
      <c r="BE953" s="84"/>
      <c r="BJ953" s="84"/>
      <c r="BO953" s="84"/>
      <c r="BT953" s="84"/>
      <c r="BY953" s="84"/>
      <c r="CC953" s="84"/>
      <c r="CG953" s="84"/>
      <c r="CK953" s="85"/>
      <c r="CL953" s="85"/>
      <c r="CM953" s="84"/>
      <c r="CO953" s="84"/>
      <c r="CT953" s="84"/>
      <c r="CY953" s="84"/>
      <c r="DC953" s="84"/>
      <c r="DG953" s="84"/>
      <c r="DK953" s="84"/>
      <c r="DO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5"/>
      <c r="AM954" s="84"/>
      <c r="AN954" s="84"/>
      <c r="AP954" s="84"/>
      <c r="AU954" s="84"/>
      <c r="AY954" s="86"/>
      <c r="BE954" s="84"/>
      <c r="BJ954" s="84"/>
      <c r="BO954" s="84"/>
      <c r="BT954" s="84"/>
      <c r="BY954" s="84"/>
      <c r="CC954" s="84"/>
      <c r="CG954" s="84"/>
      <c r="CK954" s="85"/>
      <c r="CL954" s="85"/>
      <c r="CM954" s="84"/>
      <c r="CO954" s="84"/>
      <c r="CT954" s="84"/>
      <c r="CY954" s="84"/>
      <c r="DC954" s="84"/>
      <c r="DG954" s="84"/>
      <c r="DK954" s="84"/>
      <c r="DO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5"/>
      <c r="AM955" s="84"/>
      <c r="AN955" s="84"/>
      <c r="AP955" s="84"/>
      <c r="AU955" s="84"/>
      <c r="AY955" s="86"/>
      <c r="BE955" s="84"/>
      <c r="BJ955" s="84"/>
      <c r="BO955" s="84"/>
      <c r="BT955" s="84"/>
      <c r="BY955" s="84"/>
      <c r="CC955" s="84"/>
      <c r="CG955" s="84"/>
      <c r="CK955" s="85"/>
      <c r="CL955" s="85"/>
      <c r="CM955" s="84"/>
      <c r="CO955" s="84"/>
      <c r="CT955" s="84"/>
      <c r="CY955" s="84"/>
      <c r="DC955" s="84"/>
      <c r="DG955" s="84"/>
      <c r="DK955" s="84"/>
      <c r="DO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5"/>
      <c r="AM956" s="84"/>
      <c r="AN956" s="84"/>
      <c r="AP956" s="84"/>
      <c r="AU956" s="84"/>
      <c r="AY956" s="86"/>
      <c r="BE956" s="84"/>
      <c r="BJ956" s="84"/>
      <c r="BO956" s="84"/>
      <c r="BT956" s="84"/>
      <c r="BY956" s="84"/>
      <c r="CC956" s="84"/>
      <c r="CG956" s="84"/>
      <c r="CK956" s="85"/>
      <c r="CL956" s="85"/>
      <c r="CM956" s="84"/>
      <c r="CO956" s="84"/>
      <c r="CT956" s="84"/>
      <c r="CY956" s="84"/>
      <c r="DC956" s="84"/>
      <c r="DG956" s="84"/>
      <c r="DK956" s="84"/>
      <c r="DO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5"/>
      <c r="AM957" s="84"/>
      <c r="AN957" s="84"/>
      <c r="AP957" s="84"/>
      <c r="AU957" s="84"/>
      <c r="AY957" s="86"/>
      <c r="BE957" s="84"/>
      <c r="BJ957" s="84"/>
      <c r="BO957" s="84"/>
      <c r="BT957" s="84"/>
      <c r="BY957" s="84"/>
      <c r="CC957" s="84"/>
      <c r="CG957" s="84"/>
      <c r="CK957" s="85"/>
      <c r="CL957" s="85"/>
      <c r="CM957" s="84"/>
      <c r="CO957" s="84"/>
      <c r="CT957" s="84"/>
      <c r="CY957" s="84"/>
      <c r="DC957" s="84"/>
      <c r="DG957" s="84"/>
      <c r="DK957" s="84"/>
      <c r="DO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5"/>
      <c r="AM958" s="84"/>
      <c r="AN958" s="84"/>
      <c r="AP958" s="84"/>
      <c r="AU958" s="84"/>
      <c r="AY958" s="86"/>
      <c r="BE958" s="84"/>
      <c r="BJ958" s="84"/>
      <c r="BO958" s="84"/>
      <c r="BT958" s="84"/>
      <c r="BY958" s="84"/>
      <c r="CC958" s="84"/>
      <c r="CG958" s="84"/>
      <c r="CK958" s="85"/>
      <c r="CL958" s="85"/>
      <c r="CM958" s="84"/>
      <c r="CO958" s="84"/>
      <c r="CT958" s="84"/>
      <c r="CY958" s="84"/>
      <c r="DC958" s="84"/>
      <c r="DG958" s="84"/>
      <c r="DK958" s="84"/>
      <c r="DO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5"/>
      <c r="AM959" s="84"/>
      <c r="AN959" s="84"/>
      <c r="AP959" s="84"/>
      <c r="AU959" s="84"/>
      <c r="AY959" s="86"/>
      <c r="BE959" s="84"/>
      <c r="BJ959" s="84"/>
      <c r="BO959" s="84"/>
      <c r="BT959" s="84"/>
      <c r="BY959" s="84"/>
      <c r="CC959" s="84"/>
      <c r="CG959" s="84"/>
      <c r="CK959" s="85"/>
      <c r="CL959" s="85"/>
      <c r="CM959" s="84"/>
      <c r="CO959" s="84"/>
      <c r="CT959" s="84"/>
      <c r="CY959" s="84"/>
      <c r="DC959" s="84"/>
      <c r="DG959" s="84"/>
      <c r="DK959" s="84"/>
      <c r="DO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5"/>
      <c r="AM960" s="84"/>
      <c r="AN960" s="84"/>
      <c r="AP960" s="84"/>
      <c r="AU960" s="84"/>
      <c r="AY960" s="86"/>
      <c r="BE960" s="84"/>
      <c r="BJ960" s="84"/>
      <c r="BO960" s="84"/>
      <c r="BT960" s="84"/>
      <c r="BY960" s="84"/>
      <c r="CC960" s="84"/>
      <c r="CG960" s="84"/>
      <c r="CK960" s="85"/>
      <c r="CL960" s="85"/>
      <c r="CM960" s="84"/>
      <c r="CO960" s="84"/>
      <c r="CT960" s="84"/>
      <c r="CY960" s="84"/>
      <c r="DC960" s="84"/>
      <c r="DG960" s="84"/>
      <c r="DK960" s="84"/>
      <c r="DO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5"/>
      <c r="AM961" s="84"/>
      <c r="AN961" s="84"/>
      <c r="AP961" s="84"/>
      <c r="AU961" s="84"/>
      <c r="AY961" s="86"/>
      <c r="BE961" s="84"/>
      <c r="BJ961" s="84"/>
      <c r="BO961" s="84"/>
      <c r="BT961" s="84"/>
      <c r="BY961" s="84"/>
      <c r="CC961" s="84"/>
      <c r="CG961" s="84"/>
      <c r="CK961" s="85"/>
      <c r="CL961" s="85"/>
      <c r="CM961" s="84"/>
      <c r="CO961" s="84"/>
      <c r="CT961" s="84"/>
      <c r="CY961" s="84"/>
      <c r="DC961" s="84"/>
      <c r="DG961" s="84"/>
      <c r="DK961" s="84"/>
      <c r="DO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5"/>
      <c r="AM962" s="84"/>
      <c r="AN962" s="84"/>
      <c r="AP962" s="84"/>
      <c r="AU962" s="84"/>
      <c r="AY962" s="86"/>
      <c r="BE962" s="84"/>
      <c r="BJ962" s="84"/>
      <c r="BO962" s="84"/>
      <c r="BT962" s="84"/>
      <c r="BY962" s="84"/>
      <c r="CC962" s="84"/>
      <c r="CG962" s="84"/>
      <c r="CK962" s="85"/>
      <c r="CL962" s="85"/>
      <c r="CM962" s="84"/>
      <c r="CO962" s="84"/>
      <c r="CT962" s="84"/>
      <c r="CY962" s="84"/>
      <c r="DC962" s="84"/>
      <c r="DG962" s="84"/>
      <c r="DK962" s="84"/>
      <c r="DO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5"/>
      <c r="AM963" s="84"/>
      <c r="AN963" s="84"/>
      <c r="AP963" s="84"/>
      <c r="AU963" s="84"/>
      <c r="AY963" s="86"/>
      <c r="BE963" s="84"/>
      <c r="BJ963" s="84"/>
      <c r="BO963" s="84"/>
      <c r="BT963" s="84"/>
      <c r="BY963" s="84"/>
      <c r="CC963" s="84"/>
      <c r="CG963" s="84"/>
      <c r="CK963" s="85"/>
      <c r="CL963" s="85"/>
      <c r="CM963" s="84"/>
      <c r="CO963" s="84"/>
      <c r="CT963" s="84"/>
      <c r="CY963" s="84"/>
      <c r="DC963" s="84"/>
      <c r="DG963" s="84"/>
      <c r="DK963" s="84"/>
      <c r="DO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5"/>
      <c r="AM964" s="84"/>
      <c r="AN964" s="84"/>
      <c r="AP964" s="84"/>
      <c r="AU964" s="84"/>
      <c r="AY964" s="86"/>
      <c r="BE964" s="84"/>
      <c r="BJ964" s="84"/>
      <c r="BO964" s="84"/>
      <c r="BT964" s="84"/>
      <c r="BY964" s="84"/>
      <c r="CC964" s="84"/>
      <c r="CG964" s="84"/>
      <c r="CK964" s="85"/>
      <c r="CL964" s="85"/>
      <c r="CM964" s="84"/>
      <c r="CO964" s="84"/>
      <c r="CT964" s="84"/>
      <c r="CY964" s="84"/>
      <c r="DC964" s="84"/>
      <c r="DG964" s="84"/>
      <c r="DK964" s="84"/>
      <c r="DO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5"/>
      <c r="AM965" s="84"/>
      <c r="AN965" s="84"/>
      <c r="AP965" s="84"/>
      <c r="AU965" s="84"/>
      <c r="AY965" s="86"/>
      <c r="BE965" s="84"/>
      <c r="BJ965" s="84"/>
      <c r="BO965" s="84"/>
      <c r="BT965" s="84"/>
      <c r="BY965" s="84"/>
      <c r="CC965" s="84"/>
      <c r="CG965" s="84"/>
      <c r="CK965" s="85"/>
      <c r="CL965" s="85"/>
      <c r="CM965" s="84"/>
      <c r="CO965" s="84"/>
      <c r="CT965" s="84"/>
      <c r="CY965" s="84"/>
      <c r="DC965" s="84"/>
      <c r="DG965" s="84"/>
      <c r="DK965" s="84"/>
      <c r="DO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5"/>
      <c r="AM966" s="84"/>
      <c r="AN966" s="84"/>
      <c r="AP966" s="84"/>
      <c r="AU966" s="84"/>
      <c r="AY966" s="86"/>
      <c r="BE966" s="84"/>
      <c r="BJ966" s="84"/>
      <c r="BO966" s="84"/>
      <c r="BT966" s="84"/>
      <c r="BY966" s="84"/>
      <c r="CC966" s="84"/>
      <c r="CG966" s="84"/>
      <c r="CK966" s="85"/>
      <c r="CL966" s="85"/>
      <c r="CM966" s="84"/>
      <c r="CO966" s="84"/>
      <c r="CT966" s="84"/>
      <c r="CY966" s="84"/>
      <c r="DC966" s="84"/>
      <c r="DG966" s="84"/>
      <c r="DK966" s="84"/>
      <c r="DO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5"/>
      <c r="AM967" s="84"/>
      <c r="AN967" s="84"/>
      <c r="AP967" s="84"/>
      <c r="AU967" s="84"/>
      <c r="AY967" s="86"/>
      <c r="BE967" s="84"/>
      <c r="BJ967" s="84"/>
      <c r="BO967" s="84"/>
      <c r="BT967" s="84"/>
      <c r="BY967" s="84"/>
      <c r="CC967" s="84"/>
      <c r="CG967" s="84"/>
      <c r="CK967" s="85"/>
      <c r="CL967" s="85"/>
      <c r="CM967" s="84"/>
      <c r="CO967" s="84"/>
      <c r="CT967" s="84"/>
      <c r="CY967" s="84"/>
      <c r="DC967" s="84"/>
      <c r="DG967" s="84"/>
      <c r="DK967" s="84"/>
      <c r="DO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5"/>
      <c r="AM968" s="84"/>
      <c r="AN968" s="84"/>
      <c r="AP968" s="84"/>
      <c r="AU968" s="84"/>
      <c r="AY968" s="86"/>
      <c r="BE968" s="84"/>
      <c r="BJ968" s="84"/>
      <c r="BO968" s="84"/>
      <c r="BT968" s="84"/>
      <c r="BY968" s="84"/>
      <c r="CC968" s="84"/>
      <c r="CG968" s="84"/>
      <c r="CK968" s="85"/>
      <c r="CL968" s="85"/>
      <c r="CM968" s="84"/>
      <c r="CO968" s="84"/>
      <c r="CT968" s="84"/>
      <c r="CY968" s="84"/>
      <c r="DC968" s="84"/>
      <c r="DG968" s="84"/>
      <c r="DK968" s="84"/>
      <c r="DO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5"/>
      <c r="AM969" s="84"/>
      <c r="AN969" s="84"/>
      <c r="AP969" s="84"/>
      <c r="AU969" s="84"/>
      <c r="AY969" s="86"/>
      <c r="BE969" s="84"/>
      <c r="BJ969" s="84"/>
      <c r="BO969" s="84"/>
      <c r="BT969" s="84"/>
      <c r="BY969" s="84"/>
      <c r="CC969" s="84"/>
      <c r="CG969" s="84"/>
      <c r="CK969" s="85"/>
      <c r="CL969" s="85"/>
      <c r="CM969" s="84"/>
      <c r="CO969" s="84"/>
      <c r="CT969" s="84"/>
      <c r="CY969" s="84"/>
      <c r="DC969" s="84"/>
      <c r="DG969" s="84"/>
      <c r="DK969" s="84"/>
      <c r="DO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5"/>
      <c r="AM970" s="84"/>
      <c r="AN970" s="84"/>
      <c r="AP970" s="84"/>
      <c r="AU970" s="84"/>
      <c r="AY970" s="86"/>
      <c r="BE970" s="84"/>
      <c r="BJ970" s="84"/>
      <c r="BO970" s="84"/>
      <c r="BT970" s="84"/>
      <c r="BY970" s="84"/>
      <c r="CC970" s="84"/>
      <c r="CG970" s="84"/>
      <c r="CK970" s="85"/>
      <c r="CL970" s="85"/>
      <c r="CM970" s="84"/>
      <c r="CO970" s="84"/>
      <c r="CT970" s="84"/>
      <c r="CY970" s="84"/>
      <c r="DC970" s="84"/>
      <c r="DG970" s="84"/>
      <c r="DK970" s="84"/>
      <c r="DO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5"/>
      <c r="AM971" s="84"/>
      <c r="AN971" s="84"/>
      <c r="AP971" s="84"/>
      <c r="AU971" s="84"/>
      <c r="AY971" s="86"/>
      <c r="BE971" s="84"/>
      <c r="BJ971" s="84"/>
      <c r="BO971" s="84"/>
      <c r="BT971" s="84"/>
      <c r="BY971" s="84"/>
      <c r="CC971" s="84"/>
      <c r="CG971" s="84"/>
      <c r="CK971" s="85"/>
      <c r="CL971" s="85"/>
      <c r="CM971" s="84"/>
      <c r="CO971" s="84"/>
      <c r="CT971" s="84"/>
      <c r="CY971" s="84"/>
      <c r="DC971" s="84"/>
      <c r="DG971" s="84"/>
      <c r="DK971" s="84"/>
      <c r="DO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5"/>
      <c r="AM972" s="84"/>
      <c r="AN972" s="84"/>
      <c r="AP972" s="84"/>
      <c r="AU972" s="84"/>
      <c r="AY972" s="86"/>
      <c r="BE972" s="84"/>
      <c r="BJ972" s="84"/>
      <c r="BO972" s="84"/>
      <c r="BT972" s="84"/>
      <c r="BY972" s="84"/>
      <c r="CC972" s="84"/>
      <c r="CG972" s="84"/>
      <c r="CK972" s="85"/>
      <c r="CL972" s="85"/>
      <c r="CM972" s="84"/>
      <c r="CO972" s="84"/>
      <c r="CT972" s="84"/>
      <c r="CY972" s="84"/>
      <c r="DC972" s="84"/>
      <c r="DG972" s="84"/>
      <c r="DK972" s="84"/>
      <c r="DO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5"/>
      <c r="AM973" s="84"/>
      <c r="AN973" s="84"/>
      <c r="AP973" s="84"/>
      <c r="AU973" s="84"/>
      <c r="AY973" s="86"/>
      <c r="BE973" s="84"/>
      <c r="BJ973" s="84"/>
      <c r="BO973" s="84"/>
      <c r="BT973" s="84"/>
      <c r="BY973" s="84"/>
      <c r="CC973" s="84"/>
      <c r="CG973" s="84"/>
      <c r="CK973" s="85"/>
      <c r="CL973" s="85"/>
      <c r="CM973" s="84"/>
      <c r="CO973" s="84"/>
      <c r="CT973" s="84"/>
      <c r="CY973" s="84"/>
      <c r="DC973" s="84"/>
      <c r="DG973" s="84"/>
      <c r="DK973" s="84"/>
      <c r="DO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5"/>
      <c r="AM974" s="84"/>
      <c r="AN974" s="84"/>
      <c r="AP974" s="84"/>
      <c r="AU974" s="84"/>
      <c r="AY974" s="86"/>
      <c r="BE974" s="84"/>
      <c r="BJ974" s="84"/>
      <c r="BO974" s="84"/>
      <c r="BT974" s="84"/>
      <c r="BY974" s="84"/>
      <c r="CC974" s="84"/>
      <c r="CG974" s="84"/>
      <c r="CK974" s="85"/>
      <c r="CL974" s="85"/>
      <c r="CM974" s="84"/>
      <c r="CO974" s="84"/>
      <c r="CT974" s="84"/>
      <c r="CY974" s="84"/>
      <c r="DC974" s="84"/>
      <c r="DG974" s="84"/>
      <c r="DK974" s="84"/>
      <c r="DO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5"/>
      <c r="AM975" s="84"/>
      <c r="AN975" s="84"/>
      <c r="AP975" s="84"/>
      <c r="AU975" s="84"/>
      <c r="AY975" s="86"/>
      <c r="BE975" s="84"/>
      <c r="BJ975" s="84"/>
      <c r="BO975" s="84"/>
      <c r="BT975" s="84"/>
      <c r="BY975" s="84"/>
      <c r="CC975" s="84"/>
      <c r="CG975" s="84"/>
      <c r="CK975" s="85"/>
      <c r="CL975" s="85"/>
      <c r="CM975" s="84"/>
      <c r="CO975" s="84"/>
      <c r="CT975" s="84"/>
      <c r="CY975" s="84"/>
      <c r="DC975" s="84"/>
      <c r="DG975" s="84"/>
      <c r="DK975" s="84"/>
      <c r="DO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5"/>
      <c r="AM976" s="84"/>
      <c r="AN976" s="84"/>
      <c r="AP976" s="84"/>
      <c r="AU976" s="84"/>
      <c r="AY976" s="86"/>
      <c r="BE976" s="84"/>
      <c r="BJ976" s="84"/>
      <c r="BO976" s="84"/>
      <c r="BT976" s="84"/>
      <c r="BY976" s="84"/>
      <c r="CC976" s="84"/>
      <c r="CG976" s="84"/>
      <c r="CK976" s="85"/>
      <c r="CL976" s="85"/>
      <c r="CM976" s="84"/>
      <c r="CO976" s="84"/>
      <c r="CT976" s="84"/>
      <c r="CY976" s="84"/>
      <c r="DC976" s="84"/>
      <c r="DG976" s="84"/>
      <c r="DK976" s="84"/>
      <c r="DO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5"/>
      <c r="AM977" s="84"/>
      <c r="AN977" s="84"/>
      <c r="AP977" s="84"/>
      <c r="AU977" s="84"/>
      <c r="AY977" s="86"/>
      <c r="BE977" s="84"/>
      <c r="BJ977" s="84"/>
      <c r="BO977" s="84"/>
      <c r="BT977" s="84"/>
      <c r="BY977" s="84"/>
      <c r="CC977" s="84"/>
      <c r="CG977" s="84"/>
      <c r="CK977" s="85"/>
      <c r="CL977" s="85"/>
      <c r="CM977" s="84"/>
      <c r="CO977" s="84"/>
      <c r="CT977" s="84"/>
      <c r="CY977" s="84"/>
      <c r="DC977" s="84"/>
      <c r="DG977" s="84"/>
      <c r="DK977" s="84"/>
      <c r="DO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5"/>
      <c r="AM978" s="84"/>
      <c r="AN978" s="84"/>
      <c r="AP978" s="84"/>
      <c r="AU978" s="84"/>
      <c r="AY978" s="86"/>
      <c r="BE978" s="84"/>
      <c r="BJ978" s="84"/>
      <c r="BO978" s="84"/>
      <c r="BT978" s="84"/>
      <c r="BY978" s="84"/>
      <c r="CC978" s="84"/>
      <c r="CG978" s="84"/>
      <c r="CK978" s="85"/>
      <c r="CL978" s="85"/>
      <c r="CM978" s="84"/>
      <c r="CO978" s="84"/>
      <c r="CT978" s="84"/>
      <c r="CY978" s="84"/>
      <c r="DC978" s="84"/>
      <c r="DG978" s="84"/>
      <c r="DK978" s="84"/>
      <c r="DO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5"/>
      <c r="AM979" s="84"/>
      <c r="AN979" s="84"/>
      <c r="AP979" s="84"/>
      <c r="AU979" s="84"/>
      <c r="AY979" s="86"/>
      <c r="BE979" s="84"/>
      <c r="BJ979" s="84"/>
      <c r="BO979" s="84"/>
      <c r="BT979" s="84"/>
      <c r="BY979" s="84"/>
      <c r="CC979" s="84"/>
      <c r="CG979" s="84"/>
      <c r="CK979" s="85"/>
      <c r="CL979" s="85"/>
      <c r="CM979" s="84"/>
      <c r="CO979" s="84"/>
      <c r="CT979" s="84"/>
      <c r="CY979" s="84"/>
      <c r="DC979" s="84"/>
      <c r="DG979" s="84"/>
      <c r="DK979" s="84"/>
      <c r="DO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5"/>
      <c r="AM980" s="84"/>
      <c r="AN980" s="84"/>
      <c r="AP980" s="84"/>
      <c r="AU980" s="84"/>
      <c r="AY980" s="86"/>
      <c r="BE980" s="84"/>
      <c r="BJ980" s="84"/>
      <c r="BO980" s="84"/>
      <c r="BT980" s="84"/>
      <c r="BY980" s="84"/>
      <c r="CC980" s="84"/>
      <c r="CG980" s="84"/>
      <c r="CK980" s="85"/>
      <c r="CL980" s="85"/>
      <c r="CM980" s="84"/>
      <c r="CO980" s="84"/>
      <c r="CT980" s="84"/>
      <c r="CY980" s="84"/>
      <c r="DC980" s="84"/>
      <c r="DG980" s="84"/>
      <c r="DK980" s="84"/>
      <c r="DO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5"/>
      <c r="AM981" s="84"/>
      <c r="AN981" s="84"/>
      <c r="AP981" s="84"/>
      <c r="AU981" s="84"/>
      <c r="AY981" s="86"/>
      <c r="BE981" s="84"/>
      <c r="BJ981" s="84"/>
      <c r="BO981" s="84"/>
      <c r="BT981" s="84"/>
      <c r="BY981" s="84"/>
      <c r="CC981" s="84"/>
      <c r="CG981" s="84"/>
      <c r="CK981" s="85"/>
      <c r="CL981" s="85"/>
      <c r="CM981" s="84"/>
      <c r="CO981" s="84"/>
      <c r="CT981" s="84"/>
      <c r="CY981" s="84"/>
      <c r="DC981" s="84"/>
      <c r="DG981" s="84"/>
      <c r="DK981" s="84"/>
      <c r="DO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5"/>
      <c r="AM982" s="84"/>
      <c r="AN982" s="84"/>
      <c r="AP982" s="84"/>
      <c r="AU982" s="84"/>
      <c r="AY982" s="86"/>
      <c r="BE982" s="84"/>
      <c r="BJ982" s="84"/>
      <c r="BO982" s="84"/>
      <c r="BT982" s="84"/>
      <c r="BY982" s="84"/>
      <c r="CC982" s="84"/>
      <c r="CG982" s="84"/>
      <c r="CK982" s="85"/>
      <c r="CL982" s="85"/>
      <c r="CM982" s="84"/>
      <c r="CO982" s="84"/>
      <c r="CT982" s="84"/>
      <c r="CY982" s="84"/>
      <c r="DC982" s="84"/>
      <c r="DG982" s="84"/>
      <c r="DK982" s="84"/>
      <c r="DO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5"/>
      <c r="AM983" s="84"/>
      <c r="AN983" s="84"/>
      <c r="AP983" s="84"/>
      <c r="AU983" s="84"/>
      <c r="AY983" s="86"/>
      <c r="BE983" s="84"/>
      <c r="BJ983" s="84"/>
      <c r="BO983" s="84"/>
      <c r="BT983" s="84"/>
      <c r="BY983" s="84"/>
      <c r="CC983" s="84"/>
      <c r="CG983" s="84"/>
      <c r="CK983" s="85"/>
      <c r="CL983" s="85"/>
      <c r="CM983" s="84"/>
      <c r="CO983" s="84"/>
      <c r="CT983" s="84"/>
      <c r="CY983" s="84"/>
      <c r="DC983" s="84"/>
      <c r="DG983" s="84"/>
      <c r="DK983" s="84"/>
      <c r="DO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5"/>
      <c r="AM984" s="84"/>
      <c r="AN984" s="84"/>
      <c r="AP984" s="84"/>
      <c r="AU984" s="84"/>
      <c r="AY984" s="86"/>
      <c r="BE984" s="84"/>
      <c r="BJ984" s="84"/>
      <c r="BO984" s="84"/>
      <c r="BT984" s="84"/>
      <c r="BY984" s="84"/>
      <c r="CC984" s="84"/>
      <c r="CG984" s="84"/>
      <c r="CK984" s="85"/>
      <c r="CL984" s="85"/>
      <c r="CM984" s="84"/>
      <c r="CO984" s="84"/>
      <c r="CT984" s="84"/>
      <c r="CY984" s="84"/>
      <c r="DC984" s="84"/>
      <c r="DG984" s="84"/>
      <c r="DK984" s="84"/>
      <c r="DO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5"/>
      <c r="AM985" s="84"/>
      <c r="AN985" s="84"/>
      <c r="AP985" s="84"/>
      <c r="AU985" s="84"/>
      <c r="AY985" s="86"/>
      <c r="BE985" s="84"/>
      <c r="BJ985" s="84"/>
      <c r="BO985" s="84"/>
      <c r="BT985" s="84"/>
      <c r="BY985" s="84"/>
      <c r="CC985" s="84"/>
      <c r="CG985" s="84"/>
      <c r="CK985" s="85"/>
      <c r="CL985" s="85"/>
      <c r="CM985" s="84"/>
      <c r="CO985" s="84"/>
      <c r="CT985" s="84"/>
      <c r="CY985" s="84"/>
      <c r="DC985" s="84"/>
      <c r="DG985" s="84"/>
      <c r="DK985" s="84"/>
      <c r="DO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5"/>
      <c r="AM986" s="84"/>
      <c r="AN986" s="84"/>
      <c r="AP986" s="84"/>
      <c r="AU986" s="84"/>
      <c r="AY986" s="86"/>
      <c r="BE986" s="84"/>
      <c r="BJ986" s="84"/>
      <c r="BO986" s="84"/>
      <c r="BT986" s="84"/>
      <c r="BY986" s="84"/>
      <c r="CC986" s="84"/>
      <c r="CG986" s="84"/>
      <c r="CK986" s="85"/>
      <c r="CL986" s="85"/>
      <c r="CM986" s="84"/>
      <c r="CO986" s="84"/>
      <c r="CT986" s="84"/>
      <c r="CY986" s="84"/>
      <c r="DC986" s="84"/>
      <c r="DG986" s="84"/>
      <c r="DK986" s="84"/>
      <c r="DO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5"/>
      <c r="AM987" s="84"/>
      <c r="AN987" s="84"/>
      <c r="AP987" s="84"/>
      <c r="AU987" s="84"/>
      <c r="AY987" s="86"/>
      <c r="BE987" s="84"/>
      <c r="BJ987" s="84"/>
      <c r="BO987" s="84"/>
      <c r="BT987" s="84"/>
      <c r="BY987" s="84"/>
      <c r="CC987" s="84"/>
      <c r="CG987" s="84"/>
      <c r="CK987" s="85"/>
      <c r="CL987" s="85"/>
      <c r="CM987" s="84"/>
      <c r="CO987" s="84"/>
      <c r="CT987" s="84"/>
      <c r="CY987" s="84"/>
      <c r="DC987" s="84"/>
      <c r="DG987" s="84"/>
      <c r="DK987" s="84"/>
      <c r="DO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5"/>
      <c r="AM988" s="84"/>
      <c r="AN988" s="84"/>
      <c r="AP988" s="84"/>
      <c r="AU988" s="84"/>
      <c r="AY988" s="86"/>
      <c r="BE988" s="84"/>
      <c r="BJ988" s="84"/>
      <c r="BO988" s="84"/>
      <c r="BT988" s="84"/>
      <c r="BY988" s="84"/>
      <c r="CC988" s="84"/>
      <c r="CG988" s="84"/>
      <c r="CK988" s="85"/>
      <c r="CL988" s="85"/>
      <c r="CM988" s="84"/>
      <c r="CO988" s="84"/>
      <c r="CT988" s="84"/>
      <c r="CY988" s="84"/>
      <c r="DC988" s="84"/>
      <c r="DG988" s="84"/>
      <c r="DK988" s="84"/>
      <c r="DO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5"/>
      <c r="AM989" s="84"/>
      <c r="AN989" s="84"/>
      <c r="AP989" s="84"/>
      <c r="AU989" s="84"/>
      <c r="AY989" s="86"/>
      <c r="BE989" s="84"/>
      <c r="BJ989" s="84"/>
      <c r="BO989" s="84"/>
      <c r="BT989" s="84"/>
      <c r="BY989" s="84"/>
      <c r="CC989" s="84"/>
      <c r="CG989" s="84"/>
      <c r="CK989" s="85"/>
      <c r="CL989" s="85"/>
      <c r="CM989" s="84"/>
      <c r="CO989" s="84"/>
      <c r="CT989" s="84"/>
      <c r="CY989" s="84"/>
      <c r="DC989" s="84"/>
      <c r="DG989" s="84"/>
      <c r="DK989" s="84"/>
      <c r="DO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5"/>
      <c r="AM990" s="84"/>
      <c r="AN990" s="84"/>
      <c r="AP990" s="84"/>
      <c r="AU990" s="84"/>
      <c r="AY990" s="86"/>
      <c r="BE990" s="84"/>
      <c r="BJ990" s="84"/>
      <c r="BO990" s="84"/>
      <c r="BT990" s="84"/>
      <c r="BY990" s="84"/>
      <c r="CC990" s="84"/>
      <c r="CG990" s="84"/>
      <c r="CK990" s="85"/>
      <c r="CL990" s="85"/>
      <c r="CM990" s="84"/>
      <c r="CO990" s="84"/>
      <c r="CT990" s="84"/>
      <c r="CY990" s="84"/>
      <c r="DC990" s="84"/>
      <c r="DG990" s="84"/>
      <c r="DK990" s="84"/>
      <c r="DO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5"/>
      <c r="AM991" s="84"/>
      <c r="AN991" s="84"/>
      <c r="AP991" s="84"/>
      <c r="AU991" s="84"/>
      <c r="AY991" s="86"/>
      <c r="BE991" s="84"/>
      <c r="BJ991" s="84"/>
      <c r="BO991" s="84"/>
      <c r="BT991" s="84"/>
      <c r="BY991" s="84"/>
      <c r="CC991" s="84"/>
      <c r="CG991" s="84"/>
      <c r="CK991" s="85"/>
      <c r="CL991" s="85"/>
      <c r="CM991" s="84"/>
      <c r="CO991" s="84"/>
      <c r="CT991" s="84"/>
      <c r="CY991" s="84"/>
      <c r="DC991" s="84"/>
      <c r="DG991" s="84"/>
      <c r="DK991" s="84"/>
      <c r="DO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5"/>
      <c r="AM992" s="84"/>
      <c r="AN992" s="84"/>
      <c r="AP992" s="84"/>
      <c r="AU992" s="84"/>
      <c r="AY992" s="86"/>
      <c r="BE992" s="84"/>
      <c r="BJ992" s="84"/>
      <c r="BO992" s="84"/>
      <c r="BT992" s="84"/>
      <c r="BY992" s="84"/>
      <c r="CC992" s="84"/>
      <c r="CG992" s="84"/>
      <c r="CK992" s="85"/>
      <c r="CL992" s="85"/>
      <c r="CM992" s="84"/>
      <c r="CO992" s="84"/>
      <c r="CT992" s="84"/>
      <c r="CY992" s="84"/>
      <c r="DC992" s="84"/>
      <c r="DG992" s="84"/>
      <c r="DK992" s="84"/>
      <c r="DO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5"/>
      <c r="AM993" s="84"/>
      <c r="AN993" s="84"/>
      <c r="AP993" s="84"/>
      <c r="AU993" s="84"/>
      <c r="AY993" s="86"/>
      <c r="BE993" s="84"/>
      <c r="BJ993" s="84"/>
      <c r="BO993" s="84"/>
      <c r="BT993" s="84"/>
      <c r="BY993" s="84"/>
      <c r="CC993" s="84"/>
      <c r="CG993" s="84"/>
      <c r="CK993" s="85"/>
      <c r="CL993" s="85"/>
      <c r="CM993" s="84"/>
      <c r="CO993" s="84"/>
      <c r="CT993" s="84"/>
      <c r="CY993" s="84"/>
      <c r="DC993" s="84"/>
      <c r="DG993" s="84"/>
      <c r="DK993" s="84"/>
      <c r="DO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5"/>
      <c r="AM994" s="84"/>
      <c r="AN994" s="84"/>
      <c r="AP994" s="84"/>
      <c r="AU994" s="84"/>
      <c r="AY994" s="86"/>
      <c r="BE994" s="84"/>
      <c r="BJ994" s="84"/>
      <c r="BO994" s="84"/>
      <c r="BT994" s="84"/>
      <c r="BY994" s="84"/>
      <c r="CC994" s="84"/>
      <c r="CG994" s="84"/>
      <c r="CK994" s="85"/>
      <c r="CL994" s="85"/>
      <c r="CM994" s="84"/>
      <c r="CO994" s="84"/>
      <c r="CT994" s="84"/>
      <c r="CY994" s="84"/>
      <c r="DC994" s="84"/>
      <c r="DG994" s="84"/>
      <c r="DK994" s="84"/>
      <c r="DO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5"/>
      <c r="AM995" s="84"/>
      <c r="AN995" s="84"/>
      <c r="AP995" s="84"/>
      <c r="AU995" s="84"/>
      <c r="AY995" s="86"/>
      <c r="BE995" s="84"/>
      <c r="BJ995" s="84"/>
      <c r="BO995" s="84"/>
      <c r="BT995" s="84"/>
      <c r="BY995" s="84"/>
      <c r="CC995" s="84"/>
      <c r="CG995" s="84"/>
      <c r="CK995" s="85"/>
      <c r="CL995" s="85"/>
      <c r="CM995" s="84"/>
      <c r="CO995" s="84"/>
      <c r="CT995" s="84"/>
      <c r="CY995" s="84"/>
      <c r="DC995" s="84"/>
      <c r="DG995" s="84"/>
      <c r="DK995" s="84"/>
      <c r="DO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5"/>
      <c r="AM996" s="84"/>
      <c r="AN996" s="84"/>
      <c r="AP996" s="84"/>
      <c r="AU996" s="84"/>
      <c r="AY996" s="86"/>
      <c r="BE996" s="84"/>
      <c r="BJ996" s="84"/>
      <c r="BO996" s="84"/>
      <c r="BT996" s="84"/>
      <c r="BY996" s="84"/>
      <c r="CC996" s="84"/>
      <c r="CG996" s="84"/>
      <c r="CK996" s="85"/>
      <c r="CL996" s="85"/>
      <c r="CM996" s="84"/>
      <c r="CO996" s="84"/>
      <c r="CT996" s="84"/>
      <c r="CY996" s="84"/>
      <c r="DC996" s="84"/>
      <c r="DG996" s="84"/>
      <c r="DK996" s="84"/>
      <c r="DO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5"/>
      <c r="AM997" s="84"/>
      <c r="AN997" s="84"/>
      <c r="AP997" s="84"/>
      <c r="AU997" s="84"/>
      <c r="AY997" s="86"/>
      <c r="BE997" s="84"/>
      <c r="BJ997" s="84"/>
      <c r="BO997" s="84"/>
      <c r="BT997" s="84"/>
      <c r="BY997" s="84"/>
      <c r="CC997" s="84"/>
      <c r="CG997" s="84"/>
      <c r="CK997" s="85"/>
      <c r="CL997" s="85"/>
      <c r="CM997" s="84"/>
      <c r="CO997" s="84"/>
      <c r="CT997" s="84"/>
      <c r="CY997" s="84"/>
      <c r="DC997" s="84"/>
      <c r="DG997" s="84"/>
      <c r="DK997" s="84"/>
      <c r="DO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5"/>
      <c r="AM998" s="84"/>
      <c r="AN998" s="84"/>
      <c r="AP998" s="84"/>
      <c r="AU998" s="84"/>
      <c r="AY998" s="86"/>
      <c r="BE998" s="84"/>
      <c r="BJ998" s="84"/>
      <c r="BO998" s="84"/>
      <c r="BT998" s="84"/>
      <c r="BY998" s="84"/>
      <c r="CC998" s="84"/>
      <c r="CG998" s="84"/>
      <c r="CK998" s="85"/>
      <c r="CL998" s="85"/>
      <c r="CM998" s="84"/>
      <c r="CO998" s="84"/>
      <c r="CT998" s="84"/>
      <c r="CY998" s="84"/>
      <c r="DC998" s="84"/>
      <c r="DG998" s="84"/>
      <c r="DK998" s="84"/>
      <c r="DO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5"/>
      <c r="AM999" s="84"/>
      <c r="AN999" s="84"/>
      <c r="AP999" s="84"/>
      <c r="AU999" s="84"/>
      <c r="AY999" s="86"/>
      <c r="BE999" s="84"/>
      <c r="BJ999" s="84"/>
      <c r="BO999" s="84"/>
      <c r="BT999" s="84"/>
      <c r="BY999" s="84"/>
      <c r="CC999" s="84"/>
      <c r="CG999" s="84"/>
      <c r="CK999" s="85"/>
      <c r="CL999" s="85"/>
      <c r="CM999" s="84"/>
      <c r="CO999" s="84"/>
      <c r="CT999" s="84"/>
      <c r="CY999" s="84"/>
      <c r="DC999" s="84"/>
      <c r="DG999" s="84"/>
      <c r="DK999" s="84"/>
      <c r="DO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5"/>
      <c r="AM1000" s="84"/>
      <c r="AN1000" s="84"/>
      <c r="AP1000" s="84"/>
      <c r="AU1000" s="84"/>
      <c r="AY1000" s="86"/>
      <c r="BE1000" s="84"/>
      <c r="BJ1000" s="84"/>
      <c r="BO1000" s="84"/>
      <c r="BT1000" s="84"/>
      <c r="BY1000" s="84"/>
      <c r="CC1000" s="84"/>
      <c r="CG1000" s="84"/>
      <c r="CK1000" s="85"/>
      <c r="CL1000" s="85"/>
      <c r="CM1000" s="84"/>
      <c r="CO1000" s="84"/>
      <c r="CT1000" s="84"/>
      <c r="CY1000" s="84"/>
      <c r="DC1000" s="84"/>
      <c r="DG1000" s="84"/>
      <c r="DK1000" s="84"/>
      <c r="DO1000" s="84"/>
    </row>
  </sheetData>
  <mergeCells count="33">
    <mergeCell ref="CT1:CX1"/>
    <mergeCell ref="CY1:DR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N2:AO2"/>
    <mergeCell ref="AP2:AT2"/>
    <mergeCell ref="AU2:AY2"/>
    <mergeCell ref="AZ2:BD2"/>
    <mergeCell ref="BE2:BI2"/>
    <mergeCell ref="BJ2:BN2"/>
    <mergeCell ref="BO2:BS2"/>
    <mergeCell ref="BT2:BX2"/>
    <mergeCell ref="BY2:CB2"/>
    <mergeCell ref="CC2:CF2"/>
    <mergeCell ref="CG2:CJ2"/>
    <mergeCell ref="CM2:CN2"/>
    <mergeCell ref="CO2:CS2"/>
    <mergeCell ref="CT2:CX2"/>
    <mergeCell ref="CY2:DB2"/>
    <mergeCell ref="DC2:DF2"/>
    <mergeCell ref="DG2:DJ2"/>
    <mergeCell ref="DK2:DN2"/>
    <mergeCell ref="DO2:DR2"/>
    <mergeCell ref="CQ14:CS15"/>
    <mergeCell ref="CQ16:CS16"/>
    <mergeCell ref="CQ17:CS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N996"/>
  <sheetViews>
    <sheetView showFormulas="false" showGridLines="true" showRowColHeaders="true" showZeros="true" rightToLeft="false" tabSelected="true" showOutlineSymbols="true" defaultGridColor="true" view="normal" topLeftCell="AX1" colorId="64" zoomScale="120" zoomScaleNormal="120" zoomScalePageLayoutView="100" workbookViewId="0">
      <pane xSplit="11933" ySplit="0" topLeftCell="DM1" activePane="topRight" state="split"/>
      <selection pane="topLeft" activeCell="AX1" activeCellId="0" sqref="AX1"/>
      <selection pane="topRight" activeCell="DN9" activeCellId="0" sqref="DN9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8.71"/>
    <col collapsed="false" customWidth="true" hidden="false" outlineLevel="0" max="51" min="51" style="0" width="16.57"/>
    <col collapsed="false" customWidth="true" hidden="false" outlineLevel="0" max="52" min="52" style="0" width="9.85"/>
    <col collapsed="false" customWidth="true" hidden="false" outlineLevel="0" max="53" min="53" style="0" width="15"/>
    <col collapsed="false" customWidth="true" hidden="false" outlineLevel="0" max="55" min="55" style="0" width="15"/>
    <col collapsed="false" customWidth="true" hidden="false" outlineLevel="0" max="56" min="56" style="0" width="10.42"/>
    <col collapsed="false" customWidth="true" hidden="false" outlineLevel="0" max="57" min="57" style="0" width="13.02"/>
    <col collapsed="false" customWidth="true" hidden="false" outlineLevel="0" max="58" min="58" style="0" width="12.14"/>
    <col collapsed="false" customWidth="true" hidden="false" outlineLevel="0" max="59" min="59" style="0" width="24.57"/>
    <col collapsed="false" customWidth="true" hidden="false" outlineLevel="0" max="60" min="60" style="0" width="13.43"/>
    <col collapsed="false" customWidth="true" hidden="false" outlineLevel="0" max="61" min="61" style="0" width="18.58"/>
    <col collapsed="false" customWidth="true" hidden="false" outlineLevel="0" max="62" min="62" style="0" width="13.57"/>
    <col collapsed="false" customWidth="true" hidden="false" outlineLevel="0" max="63" min="63" style="0" width="12.14"/>
    <col collapsed="false" customWidth="true" hidden="false" outlineLevel="0" max="64" min="64" style="0" width="24.57"/>
    <col collapsed="false" customWidth="true" hidden="false" outlineLevel="0" max="65" min="65" style="0" width="13.43"/>
    <col collapsed="false" customWidth="true" hidden="false" outlineLevel="0" max="66" min="66" style="0" width="18.58"/>
    <col collapsed="false" customWidth="true" hidden="false" outlineLevel="0" max="67" min="67" style="0" width="13.86"/>
    <col collapsed="false" customWidth="true" hidden="false" outlineLevel="0" max="68" min="68" style="0" width="12.14"/>
    <col collapsed="false" customWidth="true" hidden="false" outlineLevel="0" max="69" min="69" style="0" width="24.57"/>
    <col collapsed="false" customWidth="true" hidden="false" outlineLevel="0" max="70" min="70" style="0" width="13.43"/>
    <col collapsed="false" customWidth="true" hidden="false" outlineLevel="0" max="71" min="71" style="0" width="18.58"/>
    <col collapsed="false" customWidth="true" hidden="false" outlineLevel="0" max="72" min="72" style="0" width="12.86"/>
    <col collapsed="false" customWidth="true" hidden="false" outlineLevel="0" max="73" min="73" style="0" width="12.14"/>
    <col collapsed="false" customWidth="true" hidden="false" outlineLevel="0" max="74" min="74" style="0" width="24.57"/>
    <col collapsed="false" customWidth="true" hidden="false" outlineLevel="0" max="75" min="75" style="0" width="13.43"/>
    <col collapsed="false" customWidth="true" hidden="false" outlineLevel="0" max="76" min="76" style="0" width="18.58"/>
    <col collapsed="false" customWidth="true" hidden="false" outlineLevel="0" max="77" min="77" style="0" width="12.86"/>
    <col collapsed="false" customWidth="true" hidden="false" outlineLevel="0" max="78" min="78" style="0" width="12.14"/>
    <col collapsed="false" customWidth="true" hidden="false" outlineLevel="0" max="79" min="79" style="0" width="24.57"/>
    <col collapsed="false" customWidth="true" hidden="false" outlineLevel="0" max="80" min="80" style="0" width="13.43"/>
    <col collapsed="false" customWidth="true" hidden="false" outlineLevel="0" max="81" min="81" style="0" width="18.58"/>
    <col collapsed="false" customWidth="true" hidden="false" outlineLevel="0" max="82" min="82" style="0" width="12.86"/>
    <col collapsed="false" customWidth="true" hidden="false" outlineLevel="0" max="83" min="83" style="0" width="12.14"/>
    <col collapsed="false" customWidth="true" hidden="false" outlineLevel="0" max="84" min="84" style="0" width="24.57"/>
    <col collapsed="false" customWidth="true" hidden="false" outlineLevel="0" max="85" min="85" style="0" width="13.43"/>
    <col collapsed="false" customWidth="true" hidden="false" outlineLevel="0" max="86" min="86" style="0" width="18.58"/>
    <col collapsed="false" customWidth="true" hidden="false" outlineLevel="0" max="87" min="87" style="0" width="12.86"/>
    <col collapsed="false" customWidth="true" hidden="false" outlineLevel="0" max="88" min="88" style="0" width="13.02"/>
    <col collapsed="false" customWidth="true" hidden="false" outlineLevel="0" max="89" min="89" style="0" width="13.43"/>
    <col collapsed="false" customWidth="true" hidden="false" outlineLevel="0" max="90" min="90" style="0" width="18.58"/>
    <col collapsed="false" customWidth="true" hidden="false" outlineLevel="0" max="91" min="91" style="0" width="12.86"/>
    <col collapsed="false" customWidth="true" hidden="false" outlineLevel="0" max="92" min="92" style="0" width="13.02"/>
    <col collapsed="false" customWidth="true" hidden="false" outlineLevel="0" max="93" min="93" style="0" width="13.43"/>
    <col collapsed="false" customWidth="true" hidden="false" outlineLevel="0" max="94" min="94" style="0" width="18.58"/>
    <col collapsed="false" customWidth="true" hidden="false" outlineLevel="0" max="95" min="95" style="0" width="12.86"/>
    <col collapsed="false" customWidth="true" hidden="false" outlineLevel="0" max="96" min="96" style="0" width="13.02"/>
    <col collapsed="false" customWidth="true" hidden="false" outlineLevel="0" max="97" min="97" style="0" width="13.43"/>
    <col collapsed="false" customWidth="true" hidden="false" outlineLevel="0" max="98" min="98" style="0" width="18.58"/>
    <col collapsed="false" customWidth="true" hidden="false" outlineLevel="0" max="99" min="99" style="0" width="12.86"/>
    <col collapsed="false" customWidth="true" hidden="false" outlineLevel="0" max="100" min="100" style="0" width="13.02"/>
    <col collapsed="false" customWidth="true" hidden="false" outlineLevel="0" max="101" min="101" style="0" width="13.43"/>
    <col collapsed="false" customWidth="true" hidden="false" outlineLevel="0" max="102" min="102" style="0" width="18.58"/>
    <col collapsed="false" customWidth="true" hidden="false" outlineLevel="0" max="103" min="103" style="0" width="12.86"/>
    <col collapsed="false" customWidth="true" hidden="false" outlineLevel="0" max="104" min="104" style="0" width="13.02"/>
    <col collapsed="false" customWidth="true" hidden="false" outlineLevel="0" max="105" min="105" style="0" width="13.43"/>
    <col collapsed="false" customWidth="true" hidden="false" outlineLevel="0" max="106" min="106" style="0" width="18.58"/>
    <col collapsed="false" customWidth="true" hidden="false" outlineLevel="0" max="107" min="107" style="0" width="12.86"/>
    <col collapsed="false" customWidth="true" hidden="false" outlineLevel="0" max="108" min="108" style="0" width="13.02"/>
    <col collapsed="false" customWidth="true" hidden="false" outlineLevel="0" max="109" min="109" style="0" width="13.43"/>
    <col collapsed="false" customWidth="true" hidden="false" outlineLevel="0" max="110" min="110" style="0" width="18.58"/>
    <col collapsed="false" customWidth="true" hidden="false" outlineLevel="0" max="111" min="111" style="0" width="11.14"/>
    <col collapsed="false" customWidth="true" hidden="false" outlineLevel="0" max="112" min="112" style="0" width="16.57"/>
    <col collapsed="false" customWidth="true" hidden="false" outlineLevel="0" max="113" min="113" style="0" width="12.29"/>
    <col collapsed="false" customWidth="true" hidden="false" outlineLevel="0" max="114" min="114" style="0" width="17.4"/>
    <col collapsed="false" customWidth="true" hidden="false" outlineLevel="0" max="115" min="115" style="0" width="16.87"/>
    <col collapsed="false" customWidth="true" hidden="false" outlineLevel="0" max="116" min="116" style="0" width="17.4"/>
    <col collapsed="false" customWidth="true" hidden="false" outlineLevel="0" max="117" min="117" style="0" width="22.57"/>
    <col collapsed="false" customWidth="true" hidden="false" outlineLevel="0" max="118" min="118" style="0" width="12.86"/>
    <col collapsed="false" customWidth="true" hidden="false" outlineLevel="0" max="119" min="119" style="0" width="18"/>
    <col collapsed="false" customWidth="true" hidden="false" outlineLevel="0" max="120" min="120" style="0" width="8.71"/>
    <col collapsed="false" customWidth="true" hidden="false" outlineLevel="0" max="121" min="121" style="0" width="10"/>
    <col collapsed="false" customWidth="true" hidden="false" outlineLevel="0" max="123" min="123" style="0" width="15"/>
    <col collapsed="false" customWidth="true" hidden="false" outlineLevel="0" max="124" min="124" style="0" width="10.42"/>
    <col collapsed="false" customWidth="true" hidden="false" outlineLevel="0" max="125" min="125" style="0" width="15.71"/>
    <col collapsed="false" customWidth="true" hidden="false" outlineLevel="0" max="126" min="126" style="0" width="15.29"/>
    <col collapsed="false" customWidth="true" hidden="false" outlineLevel="0" max="127" min="127" style="0" width="17.86"/>
    <col collapsed="false" customWidth="true" hidden="false" outlineLevel="0" max="128" min="128" style="0" width="19.42"/>
    <col collapsed="false" customWidth="true" hidden="false" outlineLevel="0" max="129" min="129" style="0" width="17.13"/>
    <col collapsed="false" customWidth="true" hidden="false" outlineLevel="0" max="130" min="130" style="0" width="16.57"/>
    <col collapsed="false" customWidth="true" hidden="false" outlineLevel="0" max="131" min="131" style="0" width="20.42"/>
    <col collapsed="false" customWidth="true" hidden="false" outlineLevel="0" max="132" min="132" style="0" width="22.01"/>
    <col collapsed="false" customWidth="true" hidden="false" outlineLevel="0" max="133" min="133" style="0" width="19.71"/>
    <col collapsed="false" customWidth="true" hidden="false" outlineLevel="0" max="134" min="134" style="0" width="20.98"/>
    <col collapsed="false" customWidth="true" hidden="false" outlineLevel="0" max="135" min="135" style="0" width="29.29"/>
    <col collapsed="false" customWidth="true" hidden="false" outlineLevel="0" max="136" min="136" style="0" width="30.86"/>
    <col collapsed="false" customWidth="true" hidden="false" outlineLevel="0" max="137" min="137" style="0" width="21.14"/>
    <col collapsed="false" customWidth="true" hidden="false" outlineLevel="0" max="138" min="138" style="0" width="21.57"/>
    <col collapsed="false" customWidth="true" hidden="false" outlineLevel="0" max="139" min="139" style="0" width="30.43"/>
    <col collapsed="false" customWidth="true" hidden="false" outlineLevel="0" max="140" min="140" style="0" width="32"/>
    <col collapsed="false" customWidth="true" hidden="false" outlineLevel="0" max="141" min="141" style="0" width="17.13"/>
    <col collapsed="false" customWidth="true" hidden="false" outlineLevel="0" max="142" min="142" style="0" width="17"/>
    <col collapsed="false" customWidth="true" hidden="false" outlineLevel="0" max="143" min="143" style="0" width="21.29"/>
    <col collapsed="false" customWidth="true" hidden="false" outlineLevel="0" max="144" min="144" style="0" width="22.86"/>
  </cols>
  <sheetData>
    <row r="1" customFormat="false" ht="15.75" hidden="false" customHeight="true" outlineLevel="0" collapsed="false">
      <c r="A1" s="4" t="s">
        <v>116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2"/>
      <c r="AA1" s="102"/>
      <c r="AB1" s="5"/>
      <c r="AC1" s="103"/>
      <c r="AD1" s="102"/>
      <c r="AE1" s="102"/>
      <c r="AF1" s="5"/>
      <c r="AG1" s="103"/>
      <c r="AH1" s="102"/>
      <c r="AI1" s="102"/>
      <c r="AJ1" s="5"/>
      <c r="AK1" s="103"/>
      <c r="AL1" s="102"/>
      <c r="AM1" s="102"/>
      <c r="AN1" s="5"/>
      <c r="AO1" s="103"/>
      <c r="AP1" s="102"/>
      <c r="AQ1" s="102"/>
      <c r="AR1" s="5"/>
      <c r="AS1" s="103"/>
      <c r="AT1" s="102"/>
      <c r="AU1" s="102"/>
      <c r="AV1" s="5"/>
      <c r="AW1" s="103"/>
      <c r="AX1" s="7"/>
      <c r="AY1" s="5"/>
      <c r="AZ1" s="5"/>
      <c r="BA1" s="103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102"/>
      <c r="CJ1" s="102"/>
      <c r="CK1" s="5"/>
      <c r="CL1" s="104"/>
      <c r="CM1" s="102"/>
      <c r="CN1" s="102"/>
      <c r="CO1" s="5"/>
      <c r="CP1" s="104"/>
      <c r="CQ1" s="102"/>
      <c r="CR1" s="102"/>
      <c r="CS1" s="5"/>
      <c r="CT1" s="104"/>
      <c r="CU1" s="102"/>
      <c r="CV1" s="102"/>
      <c r="CW1" s="5"/>
      <c r="CX1" s="104"/>
      <c r="CY1" s="102"/>
      <c r="CZ1" s="102"/>
      <c r="DA1" s="5"/>
      <c r="DB1" s="104"/>
      <c r="DC1" s="102"/>
      <c r="DD1" s="102"/>
      <c r="DE1" s="5"/>
      <c r="DF1" s="104"/>
      <c r="DG1" s="7"/>
      <c r="DH1" s="7"/>
      <c r="DI1" s="5"/>
      <c r="DJ1" s="5"/>
      <c r="DK1" s="5"/>
      <c r="DL1" s="8"/>
      <c r="DM1" s="8"/>
      <c r="DN1" s="8"/>
      <c r="DO1" s="8"/>
      <c r="DP1" s="9" t="s">
        <v>40</v>
      </c>
      <c r="DQ1" s="9"/>
      <c r="DR1" s="9"/>
      <c r="DS1" s="9"/>
      <c r="DT1" s="9"/>
      <c r="DU1" s="10" t="s">
        <v>41</v>
      </c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</row>
    <row r="2" customFormat="false" ht="12.75" hidden="false" customHeight="false" outlineLevel="0" collapsed="false">
      <c r="A2" s="11" t="s">
        <v>42</v>
      </c>
      <c r="B2" s="12" t="s">
        <v>43</v>
      </c>
      <c r="C2" s="12"/>
      <c r="D2" s="12"/>
      <c r="E2" s="12"/>
      <c r="F2" s="13" t="s">
        <v>44</v>
      </c>
      <c r="G2" s="13"/>
      <c r="H2" s="13"/>
      <c r="I2" s="13"/>
      <c r="J2" s="14" t="s">
        <v>45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5" t="s">
        <v>117</v>
      </c>
      <c r="AA2" s="15"/>
      <c r="AB2" s="15"/>
      <c r="AC2" s="15"/>
      <c r="AD2" s="15" t="s">
        <v>118</v>
      </c>
      <c r="AE2" s="15"/>
      <c r="AF2" s="15"/>
      <c r="AG2" s="15"/>
      <c r="AH2" s="15" t="s">
        <v>119</v>
      </c>
      <c r="AI2" s="15"/>
      <c r="AJ2" s="15"/>
      <c r="AK2" s="15"/>
      <c r="AL2" s="15" t="s">
        <v>120</v>
      </c>
      <c r="AM2" s="15"/>
      <c r="AN2" s="15"/>
      <c r="AO2" s="15"/>
      <c r="AP2" s="15" t="s">
        <v>121</v>
      </c>
      <c r="AQ2" s="15"/>
      <c r="AR2" s="15"/>
      <c r="AS2" s="15"/>
      <c r="AT2" s="15" t="s">
        <v>122</v>
      </c>
      <c r="AU2" s="15"/>
      <c r="AV2" s="15"/>
      <c r="AW2" s="15"/>
      <c r="AX2" s="15" t="s">
        <v>52</v>
      </c>
      <c r="AY2" s="14" t="s">
        <v>53</v>
      </c>
      <c r="AZ2" s="14" t="s">
        <v>54</v>
      </c>
      <c r="BA2" s="14"/>
      <c r="BB2" s="14" t="s">
        <v>55</v>
      </c>
      <c r="BC2" s="14"/>
      <c r="BD2" s="14"/>
      <c r="BE2" s="16" t="s">
        <v>43</v>
      </c>
      <c r="BF2" s="16"/>
      <c r="BG2" s="16"/>
      <c r="BH2" s="16"/>
      <c r="BI2" s="16"/>
      <c r="BJ2" s="17" t="s">
        <v>44</v>
      </c>
      <c r="BK2" s="17"/>
      <c r="BL2" s="17"/>
      <c r="BM2" s="17"/>
      <c r="BN2" s="17"/>
      <c r="BO2" s="18" t="s">
        <v>45</v>
      </c>
      <c r="BP2" s="18"/>
      <c r="BQ2" s="18"/>
      <c r="BR2" s="18"/>
      <c r="BS2" s="18"/>
      <c r="BT2" s="18" t="s">
        <v>46</v>
      </c>
      <c r="BU2" s="18"/>
      <c r="BV2" s="18"/>
      <c r="BW2" s="18"/>
      <c r="BX2" s="18"/>
      <c r="BY2" s="18" t="s">
        <v>47</v>
      </c>
      <c r="BZ2" s="18"/>
      <c r="CA2" s="18"/>
      <c r="CB2" s="18"/>
      <c r="CC2" s="18"/>
      <c r="CD2" s="18" t="s">
        <v>48</v>
      </c>
      <c r="CE2" s="18"/>
      <c r="CF2" s="18"/>
      <c r="CG2" s="18"/>
      <c r="CH2" s="18"/>
      <c r="CI2" s="18" t="s">
        <v>117</v>
      </c>
      <c r="CJ2" s="18"/>
      <c r="CK2" s="18"/>
      <c r="CL2" s="18"/>
      <c r="CM2" s="18" t="s">
        <v>118</v>
      </c>
      <c r="CN2" s="18"/>
      <c r="CO2" s="18"/>
      <c r="CP2" s="18"/>
      <c r="CQ2" s="18" t="s">
        <v>119</v>
      </c>
      <c r="CR2" s="18"/>
      <c r="CS2" s="18"/>
      <c r="CT2" s="18"/>
      <c r="CU2" s="18" t="s">
        <v>120</v>
      </c>
      <c r="CV2" s="18"/>
      <c r="CW2" s="18"/>
      <c r="CX2" s="18"/>
      <c r="CY2" s="18" t="s">
        <v>121</v>
      </c>
      <c r="CZ2" s="18"/>
      <c r="DA2" s="18"/>
      <c r="DB2" s="18"/>
      <c r="DC2" s="18" t="s">
        <v>122</v>
      </c>
      <c r="DD2" s="18"/>
      <c r="DE2" s="18"/>
      <c r="DF2" s="18"/>
      <c r="DG2" s="16" t="s">
        <v>52</v>
      </c>
      <c r="DH2" s="16" t="s">
        <v>53</v>
      </c>
      <c r="DI2" s="18" t="s">
        <v>54</v>
      </c>
      <c r="DJ2" s="18"/>
      <c r="DK2" s="19" t="s">
        <v>55</v>
      </c>
      <c r="DL2" s="19"/>
      <c r="DM2" s="19"/>
      <c r="DN2" s="19"/>
      <c r="DO2" s="19"/>
      <c r="DP2" s="20" t="s">
        <v>56</v>
      </c>
      <c r="DQ2" s="20"/>
      <c r="DR2" s="20"/>
      <c r="DS2" s="20"/>
      <c r="DT2" s="20"/>
      <c r="DU2" s="21" t="s">
        <v>57</v>
      </c>
      <c r="DV2" s="21"/>
      <c r="DW2" s="21"/>
      <c r="DX2" s="21"/>
      <c r="DY2" s="21" t="s">
        <v>58</v>
      </c>
      <c r="DZ2" s="21"/>
      <c r="EA2" s="21"/>
      <c r="EB2" s="21"/>
      <c r="EC2" s="21" t="s">
        <v>59</v>
      </c>
      <c r="ED2" s="21"/>
      <c r="EE2" s="21"/>
      <c r="EF2" s="21"/>
      <c r="EG2" s="21" t="s">
        <v>60</v>
      </c>
      <c r="EH2" s="21"/>
      <c r="EI2" s="21"/>
      <c r="EJ2" s="21"/>
      <c r="EK2" s="21" t="s">
        <v>61</v>
      </c>
      <c r="EL2" s="21"/>
      <c r="EM2" s="21"/>
      <c r="EN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105" t="s">
        <v>63</v>
      </c>
      <c r="AA3" s="105" t="s">
        <v>123</v>
      </c>
      <c r="AB3" s="23" t="s">
        <v>65</v>
      </c>
      <c r="AC3" s="106" t="s">
        <v>66</v>
      </c>
      <c r="AD3" s="105" t="s">
        <v>63</v>
      </c>
      <c r="AE3" s="105" t="s">
        <v>123</v>
      </c>
      <c r="AF3" s="23" t="s">
        <v>65</v>
      </c>
      <c r="AG3" s="106" t="s">
        <v>66</v>
      </c>
      <c r="AH3" s="105" t="s">
        <v>63</v>
      </c>
      <c r="AI3" s="105" t="s">
        <v>123</v>
      </c>
      <c r="AJ3" s="23" t="s">
        <v>65</v>
      </c>
      <c r="AK3" s="106" t="s">
        <v>66</v>
      </c>
      <c r="AL3" s="105" t="s">
        <v>63</v>
      </c>
      <c r="AM3" s="105" t="s">
        <v>123</v>
      </c>
      <c r="AN3" s="23" t="s">
        <v>65</v>
      </c>
      <c r="AO3" s="106" t="s">
        <v>66</v>
      </c>
      <c r="AP3" s="105" t="s">
        <v>63</v>
      </c>
      <c r="AQ3" s="105" t="s">
        <v>123</v>
      </c>
      <c r="AR3" s="23" t="s">
        <v>65</v>
      </c>
      <c r="AS3" s="106" t="s">
        <v>66</v>
      </c>
      <c r="AT3" s="105" t="s">
        <v>63</v>
      </c>
      <c r="AU3" s="105" t="s">
        <v>123</v>
      </c>
      <c r="AV3" s="23" t="s">
        <v>65</v>
      </c>
      <c r="AW3" s="106" t="s">
        <v>66</v>
      </c>
      <c r="AX3" s="25" t="s">
        <v>68</v>
      </c>
      <c r="AY3" s="26" t="s">
        <v>69</v>
      </c>
      <c r="AZ3" s="26" t="s">
        <v>70</v>
      </c>
      <c r="BA3" s="107" t="s">
        <v>71</v>
      </c>
      <c r="BB3" s="26" t="s">
        <v>72</v>
      </c>
      <c r="BC3" s="23" t="s">
        <v>73</v>
      </c>
      <c r="BD3" s="108" t="s">
        <v>75</v>
      </c>
      <c r="BE3" s="28" t="s">
        <v>77</v>
      </c>
      <c r="BF3" s="28" t="s">
        <v>78</v>
      </c>
      <c r="BG3" s="28" t="s">
        <v>79</v>
      </c>
      <c r="BH3" s="28" t="s">
        <v>80</v>
      </c>
      <c r="BI3" s="29" t="s">
        <v>81</v>
      </c>
      <c r="BJ3" s="28" t="s">
        <v>77</v>
      </c>
      <c r="BK3" s="28" t="s">
        <v>78</v>
      </c>
      <c r="BL3" s="28" t="s">
        <v>79</v>
      </c>
      <c r="BM3" s="28" t="s">
        <v>80</v>
      </c>
      <c r="BN3" s="29" t="s">
        <v>81</v>
      </c>
      <c r="BO3" s="28" t="s">
        <v>77</v>
      </c>
      <c r="BP3" s="28" t="s">
        <v>78</v>
      </c>
      <c r="BQ3" s="28" t="s">
        <v>79</v>
      </c>
      <c r="BR3" s="28" t="s">
        <v>80</v>
      </c>
      <c r="BS3" s="29" t="s">
        <v>81</v>
      </c>
      <c r="BT3" s="28" t="s">
        <v>77</v>
      </c>
      <c r="BU3" s="28" t="s">
        <v>78</v>
      </c>
      <c r="BV3" s="28" t="s">
        <v>79</v>
      </c>
      <c r="BW3" s="28" t="s">
        <v>80</v>
      </c>
      <c r="BX3" s="29" t="s">
        <v>81</v>
      </c>
      <c r="BY3" s="28" t="s">
        <v>77</v>
      </c>
      <c r="BZ3" s="28" t="s">
        <v>78</v>
      </c>
      <c r="CA3" s="28" t="s">
        <v>79</v>
      </c>
      <c r="CB3" s="28" t="s">
        <v>80</v>
      </c>
      <c r="CC3" s="29" t="s">
        <v>81</v>
      </c>
      <c r="CD3" s="28" t="s">
        <v>77</v>
      </c>
      <c r="CE3" s="28" t="s">
        <v>78</v>
      </c>
      <c r="CF3" s="28" t="s">
        <v>79</v>
      </c>
      <c r="CG3" s="28" t="s">
        <v>80</v>
      </c>
      <c r="CH3" s="29" t="s">
        <v>81</v>
      </c>
      <c r="CI3" s="109" t="s">
        <v>77</v>
      </c>
      <c r="CJ3" s="109" t="s">
        <v>124</v>
      </c>
      <c r="CK3" s="28" t="s">
        <v>80</v>
      </c>
      <c r="CL3" s="110" t="s">
        <v>81</v>
      </c>
      <c r="CM3" s="109" t="s">
        <v>77</v>
      </c>
      <c r="CN3" s="109" t="s">
        <v>124</v>
      </c>
      <c r="CO3" s="28" t="s">
        <v>80</v>
      </c>
      <c r="CP3" s="110" t="s">
        <v>81</v>
      </c>
      <c r="CQ3" s="109" t="s">
        <v>77</v>
      </c>
      <c r="CR3" s="109" t="s">
        <v>124</v>
      </c>
      <c r="CS3" s="28" t="s">
        <v>80</v>
      </c>
      <c r="CT3" s="110" t="s">
        <v>81</v>
      </c>
      <c r="CU3" s="109" t="s">
        <v>77</v>
      </c>
      <c r="CV3" s="109" t="s">
        <v>124</v>
      </c>
      <c r="CW3" s="28" t="s">
        <v>80</v>
      </c>
      <c r="CX3" s="110" t="s">
        <v>81</v>
      </c>
      <c r="CY3" s="109" t="s">
        <v>77</v>
      </c>
      <c r="CZ3" s="109" t="s">
        <v>124</v>
      </c>
      <c r="DA3" s="28" t="s">
        <v>80</v>
      </c>
      <c r="DB3" s="110" t="s">
        <v>81</v>
      </c>
      <c r="DC3" s="109" t="s">
        <v>77</v>
      </c>
      <c r="DD3" s="109" t="s">
        <v>124</v>
      </c>
      <c r="DE3" s="28" t="s">
        <v>80</v>
      </c>
      <c r="DF3" s="110" t="s">
        <v>81</v>
      </c>
      <c r="DG3" s="30" t="s">
        <v>83</v>
      </c>
      <c r="DH3" s="30" t="s">
        <v>84</v>
      </c>
      <c r="DI3" s="31" t="s">
        <v>85</v>
      </c>
      <c r="DJ3" s="29" t="s">
        <v>86</v>
      </c>
      <c r="DK3" s="28" t="s">
        <v>87</v>
      </c>
      <c r="DL3" s="28" t="s">
        <v>88</v>
      </c>
      <c r="DM3" s="32" t="s">
        <v>89</v>
      </c>
      <c r="DN3" s="28" t="s">
        <v>90</v>
      </c>
      <c r="DO3" s="32" t="s">
        <v>91</v>
      </c>
      <c r="DP3" s="33" t="s">
        <v>68</v>
      </c>
      <c r="DQ3" s="34" t="s">
        <v>69</v>
      </c>
      <c r="DR3" s="34" t="s">
        <v>72</v>
      </c>
      <c r="DS3" s="34" t="s">
        <v>73</v>
      </c>
      <c r="DT3" s="34" t="s">
        <v>75</v>
      </c>
      <c r="DU3" s="35" t="s">
        <v>92</v>
      </c>
      <c r="DV3" s="36" t="s">
        <v>93</v>
      </c>
      <c r="DW3" s="36" t="s">
        <v>94</v>
      </c>
      <c r="DX3" s="36" t="s">
        <v>95</v>
      </c>
      <c r="DY3" s="35" t="s">
        <v>96</v>
      </c>
      <c r="DZ3" s="36" t="s">
        <v>97</v>
      </c>
      <c r="EA3" s="36" t="s">
        <v>98</v>
      </c>
      <c r="EB3" s="36" t="s">
        <v>99</v>
      </c>
      <c r="EC3" s="35" t="s">
        <v>100</v>
      </c>
      <c r="ED3" s="36" t="s">
        <v>101</v>
      </c>
      <c r="EE3" s="36" t="s">
        <v>102</v>
      </c>
      <c r="EF3" s="36" t="s">
        <v>103</v>
      </c>
      <c r="EG3" s="35" t="s">
        <v>104</v>
      </c>
      <c r="EH3" s="36" t="s">
        <v>105</v>
      </c>
      <c r="EI3" s="36" t="s">
        <v>106</v>
      </c>
      <c r="EJ3" s="36" t="s">
        <v>107</v>
      </c>
      <c r="EK3" s="35" t="s">
        <v>108</v>
      </c>
      <c r="EL3" s="36" t="s">
        <v>109</v>
      </c>
      <c r="EM3" s="36" t="s">
        <v>110</v>
      </c>
      <c r="EN3" s="36" t="s">
        <v>111</v>
      </c>
    </row>
    <row r="4" customFormat="false" ht="12.8" hidden="false" customHeight="false" outlineLevel="0" collapsed="false">
      <c r="A4" s="37" t="n">
        <v>3.1</v>
      </c>
      <c r="B4" s="38" t="n">
        <f aca="false">IFERROR(__xludf.dummyfunction("FILTER(FILTER('Data Scenarios 3-4'!$A$2:$BX$105,'Data Scenarios 3-4'!$A$1:$BX$1=""V_LAPTOP_3_OUTPUT""),'Data Scenarios 3-4'!$B$2:$B$105=$A4,'Data Scenarios 3-4'!$C$2:$C$105=""All"",'Data Scenarios 3-4'!$D$2:$D$105=""Mean"")"),18.9853352833333)</f>
        <v>18.9853352833333</v>
      </c>
      <c r="C4" s="3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3-4'!$D$2:$D$105=""Mean"")"),0.00282566020999205)</f>
        <v>0.00282566020999205</v>
      </c>
      <c r="D4" s="38" t="n">
        <f aca="false">IFERROR(__xludf.dummyfunction("FILTER(FILTER('Data Scenarios 3-4'!$A$2:$BX$105,'Data Scenarios 3-4'!$A$1:$BX$1=""P_LAPTOP_3_OUTPUT""),'Data Scenarios 3-4'!$B$2:$B$105=$A4,'Data Scenarios 3-4'!$C$2:$C$105=""All"",'Data Scenarios 3-4'!$D$2:$D$105=""Mean"")"),0.0536461160188831)</f>
        <v>0.0536461160188831</v>
      </c>
      <c r="E4" s="39" t="n">
        <v>0</v>
      </c>
      <c r="F4" s="38" t="n">
        <f aca="false">IFERROR(__xludf.dummyfunction("FILTER(FILTER('Data Scenarios 3-4'!$A$2:$BX$105,'Data Scenarios 3-4'!$A$1:$BX$1=""V_LAPTOP_4_OUTPUT""),'Data Scenarios 3-4'!$B$2:$B$105=$A4,'Data Scenarios 3-4'!$C$2:$C$105=""All"",'Data Scenarios 3-4'!$D$2:$D$105=""Mean"")"),18.595416625)</f>
        <v>18.595416625</v>
      </c>
      <c r="G4" s="3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3-4'!$D$2:$D$105=""Mean"")"),0.00366724125873537)</f>
        <v>0.00366724125873537</v>
      </c>
      <c r="H4" s="38" t="n">
        <f aca="false">IFERROR(__xludf.dummyfunction("FILTER(FILTER('Data Scenarios 3-4'!$A$2:$BX$105,'Data Scenarios 3-4'!$A$1:$BX$1=""P_LAPTOP_4_OUTPUT""),'Data Scenarios 3-4'!$B$2:$B$105=$A4,'Data Scenarios 3-4'!$C$2:$C$105=""All"",'Data Scenarios 3-4'!$D$2:$D$105=""Mean"")"),0.0681938766719675)</f>
        <v>0.0681938766719675</v>
      </c>
      <c r="I4" s="39" t="n">
        <v>0</v>
      </c>
      <c r="J4" s="38" t="n">
        <f aca="false">IFERROR(__xludf.dummyfunction("FILTER(FILTER('Data Scenarios 3-4'!$A$2:$BX$105,'Data Scenarios 3-4'!$A$1:$BX$1=""V_LAPTOP_5_OUTPUT""),'Data Scenarios 3-4'!$B$2:$B$105=$A4,'Data Scenarios 3-4'!$C$2:$C$105=""All"",'Data Scenarios 3-4'!$D$2:$D$105=""Mean"")"),18.69934705)</f>
        <v>18.69934705</v>
      </c>
      <c r="K4" s="3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3-4'!$D$2:$D$105=""Mean"")"),0.0100169489824642)</f>
        <v>0.0100169489824642</v>
      </c>
      <c r="L4" s="38" t="n">
        <f aca="false">IFERROR(__xludf.dummyfunction("FILTER(FILTER('Data Scenarios 3-4'!$A$2:$BX$105,'Data Scenarios 3-4'!$A$1:$BX$1=""P_LAPTOP_5_OUTPUT""),'Data Scenarios 3-4'!$B$2:$B$105=$A4,'Data Scenarios 3-4'!$C$2:$C$105=""All"",'Data Scenarios 3-4'!$D$2:$D$105=""Mean"")"),0.187310411184318)</f>
        <v>0.187310411184318</v>
      </c>
      <c r="M4" s="39" t="n">
        <v>0</v>
      </c>
      <c r="N4" s="38" t="n">
        <f aca="false">IFERROR(__xludf.dummyfunction("FILTER(FILTER('Data Scenarios 3-4'!$A$2:$BX$105,'Data Scenarios 3-4'!$A$1:$BX$1=""V_LED_1""),'Data Scenarios 3-4'!$B$2:$B$105=$A4,'Data Scenarios 3-4'!$C$2:$C$105=""All"",'Data Scenarios 3-4'!$D$2:$D$105=""Mean"")"),24.2664243083333)</f>
        <v>24.2664243083333</v>
      </c>
      <c r="O4" s="38" t="n">
        <f aca="false">IFERROR(__xludf.dummyfunction("FILTER(FILTER('Data Scenarios 3-4'!$A$2:$BX$105,'Data Scenarios 3-4'!$A$1:$BX$1=""I_LED_1""),'Data Scenarios 3-4'!$B$2:$B$105=$A4,'Data Scenarios 3-4'!$C$2:$C$105=""All"",'Data Scenarios 3-4'!$D$2:$D$105=""Mean"")"),0.0407835350057485)</f>
        <v>0.0407835350057485</v>
      </c>
      <c r="P4" s="65" t="n">
        <f aca="false">IFERROR(__xludf.dummyfunction("FILTER(FILTER('Data Scenarios 3-4'!$A$2:$BX$105,'Data Scenarios 3-4'!$A$1:$BX$1=""P_LED_1""),'Data Scenarios 3-4'!$B$2:$B$105=$A4,'Data Scenarios 3-4'!$C$2:$C$105=""All"",'Data Scenarios 3-4'!$D$2:$D$105=""Mean"")"),0.989670550117062)</f>
        <v>0.989670550117062</v>
      </c>
      <c r="Q4" s="39" t="n">
        <v>0</v>
      </c>
      <c r="R4" s="38" t="n">
        <f aca="false">IFERROR(__xludf.dummyfunction("FILTER(FILTER('Data Scenarios 3-4'!$A$2:$BX$105,'Data Scenarios 3-4'!$A$1:$BX$1=""V_LED_2""),'Data Scenarios 3-4'!$B$2:$B$105=$A4,'Data Scenarios 3-4'!$C$2:$C$105=""All"",'Data Scenarios 3-4'!$D$2:$D$105=""Mean"")"),24.2250326416666)</f>
        <v>24.2250326416666</v>
      </c>
      <c r="S4" s="38" t="n">
        <f aca="false">IFERROR(__xludf.dummyfunction("FILTER(FILTER('Data Scenarios 3-4'!$A$2:$BX$105,'Data Scenarios 3-4'!$A$1:$BX$1=""I_LED_2""),'Data Scenarios 3-4'!$B$2:$B$105=$A4,'Data Scenarios 3-4'!$C$2:$C$105=""All"",'Data Scenarios 3-4'!$D$2:$D$105=""Mean"")"),0.0217129231952406)</f>
        <v>0.0217129231952406</v>
      </c>
      <c r="T4" s="65" t="n">
        <f aca="false">IFERROR(__xludf.dummyfunction("FILTER(FILTER('Data Scenarios 3-4'!$A$2:$BX$105,'Data Scenarios 3-4'!$A$1:$BX$1=""P_LED_2""),'Data Scenarios 3-4'!$B$2:$B$105=$A4,'Data Scenarios 3-4'!$C$2:$C$105=""All"",'Data Scenarios 3-4'!$D$2:$D$105=""Mean"")"),0.525996209983509)</f>
        <v>0.525996209983509</v>
      </c>
      <c r="U4" s="39" t="n">
        <v>0</v>
      </c>
      <c r="V4" s="38" t="n">
        <f aca="false">IFERROR(__xludf.dummyfunction("FILTER(FILTER('Data Scenarios 3-4'!$A$2:$BX$105,'Data Scenarios 3-4'!$A$1:$BX$1=""V_LED_3""),'Data Scenarios 3-4'!$B$2:$B$105=$A4,'Data Scenarios 3-4'!$C$2:$C$105=""All"",'Data Scenarios 3-4'!$D$2:$D$105=""Mean"")"),24.2316143805555)</f>
        <v>24.2316143805555</v>
      </c>
      <c r="W4" s="38" t="n">
        <f aca="false">IFERROR(__xludf.dummyfunction("FILTER(FILTER('Data Scenarios 3-4'!$A$2:$BX$105,'Data Scenarios 3-4'!$A$1:$BX$1=""I_LED_3""),'Data Scenarios 3-4'!$B$2:$B$105=$A4,'Data Scenarios 3-4'!$C$2:$C$105=""All"",'Data Scenarios 3-4'!$D$2:$D$105=""Mean"")"),0.0415886329431288)</f>
        <v>0.0415886329431288</v>
      </c>
      <c r="X4" s="65" t="n">
        <f aca="false">IFERROR(__xludf.dummyfunction("FILTER(FILTER('Data Scenarios 3-4'!$A$2:$BX$105,'Data Scenarios 3-4'!$A$1:$BX$1=""P_LED_3""),'Data Scenarios 3-4'!$B$2:$B$105=$A4,'Data Scenarios 3-4'!$C$2:$C$105=""All"",'Data Scenarios 3-4'!$D$2:$D$105=""Mean"")"),1.00775971824673)</f>
        <v>1.00775971824673</v>
      </c>
      <c r="Y4" s="39" t="n">
        <v>0</v>
      </c>
      <c r="Z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A4" s="112" t="n">
        <v>0</v>
      </c>
      <c r="AB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3-4'!$D$2:$D$105=""Mean"")"),0)</f>
        <v>0</v>
      </c>
      <c r="AC4" s="113" t="n">
        <f aca="false">Z4^2*AA4</f>
        <v>0</v>
      </c>
      <c r="AD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E4" s="112" t="n">
        <v>0</v>
      </c>
      <c r="AF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3-4'!$D$2:$D$105=""Mean"")"),0)</f>
        <v>0</v>
      </c>
      <c r="AG4" s="113" t="n">
        <f aca="false">AD4^2*AE4</f>
        <v>0</v>
      </c>
      <c r="AH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I4" s="112" t="n">
        <v>0</v>
      </c>
      <c r="AJ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3-4'!$D$2:$D$105=""Mean"")"),0)</f>
        <v>0</v>
      </c>
      <c r="AK4" s="113" t="n">
        <f aca="false">AH4^2*AI4</f>
        <v>0</v>
      </c>
      <c r="AL4" s="111" t="n">
        <f aca="false">IFERROR(__xludf.dummyfunction("FILTER(FILTER('Data Scenarios 3-4'!$A$2:$BX$105,'Data Scenarios 3-4'!$A$1:$BX$1=""V_an""),'Data Scenarios 3-4'!$B$2:$B$105=$A4,'Data Scenarios 3-4'!$C$2:$C$105=""All"",'Data Scenarios 3-4'!$D$2:$D$105=""Mean"")"),122.938048333333)</f>
        <v>122.938048333333</v>
      </c>
      <c r="AM4" s="112" t="n">
        <v>0</v>
      </c>
      <c r="AN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3-4'!$D$2:$D$105=""Mean"")"),0)</f>
        <v>0</v>
      </c>
      <c r="AO4" s="113" t="n">
        <f aca="false">AL4^2*AM4</f>
        <v>0</v>
      </c>
      <c r="AP4" s="111" t="n">
        <f aca="false">IFERROR(__xludf.dummyfunction("FILTER(FILTER('Data Scenarios 3-4'!$A$2:$BX$105,'Data Scenarios 3-4'!$A$1:$BX$1=""V_bn""),'Data Scenarios 3-4'!$B$2:$B$105=$A4,'Data Scenarios 3-4'!$C$2:$C$105=""All"",'Data Scenarios 3-4'!$D$2:$D$105=""Mean"")"),122.6806025)</f>
        <v>122.6806025</v>
      </c>
      <c r="AQ4" s="112" t="n">
        <v>0</v>
      </c>
      <c r="AR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3-4'!$D$2:$D$105=""Mean"")"),0)</f>
        <v>0</v>
      </c>
      <c r="AS4" s="113" t="n">
        <f aca="false">AP4^2*AQ4</f>
        <v>0</v>
      </c>
      <c r="AT4" s="111" t="n">
        <f aca="false">IFERROR(__xludf.dummyfunction("FILTER(FILTER('Data Scenarios 3-4'!$A$2:$BX$105,'Data Scenarios 3-4'!$A$1:$BX$1=""V_cn""),'Data Scenarios 3-4'!$B$2:$B$105=$A4,'Data Scenarios 3-4'!$C$2:$C$105=""All"",'Data Scenarios 3-4'!$D$2:$D$105=""Mean"")"),122.892648333333)</f>
        <v>122.892648333333</v>
      </c>
      <c r="AU4" s="112" t="n">
        <v>0</v>
      </c>
      <c r="AV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3-4'!$D$2:$D$105=""Mean"")"),0)</f>
        <v>0</v>
      </c>
      <c r="AW4" s="113" t="n">
        <f aca="false">AT4^2*AU4</f>
        <v>0</v>
      </c>
      <c r="AX4" s="44" t="n">
        <f aca="false">IFERROR(__xludf.dummyfunction("FILTER(FILTER('Data Scenarios 3-4'!$A$2:$BX$105,'Data Scenarios 3-4'!$A$1:$BX$1=""P_In""),'Data Scenarios 3-4'!$B$2:$B$105=$A4,'Data Scenarios 3-4'!$C$2:$C$105=""All"",'Data Scenarios 3-4'!$D$2:$D$105=""Mean"")"),56.7769698055555)</f>
        <v>56.7769698055555</v>
      </c>
      <c r="AY4" s="74" t="n">
        <f aca="false">IFERROR(__xludf.dummyfunction("FILTER(FILTER('Data Scenarios 3-4'!$A$2:$BX$105,'Data Scenarios 3-4'!$A$1:$BX$1=""P_Secondary""),'Data Scenarios 3-4'!$B$2:$B$105=$A4,'Data Scenarios 3-4'!$C$2:$C$105=""All"",'Data Scenarios 3-4'!$D$2:$D$105=""Mean"")"),5.29282748055555)</f>
        <v>5.29282748055555</v>
      </c>
      <c r="AZ4" s="59" t="n">
        <f aca="false">IFERROR(__xludf.dummyfunction("FILTER(FILTER('Data Scenarios 3-4'!$A$2:$BX$105,'Data Scenarios 3-4'!$A$1:$BX$1=""P_Out""),'Data Scenarios 3-4'!$B$2:$B$105=$A4,'Data Scenarios 3-4'!$C$2:$C$105=""All"",'Data Scenarios 3-4'!$D$2:$D$105=""Mean"")"),2.83257688222247)</f>
        <v>2.83257688222247</v>
      </c>
      <c r="BA4" s="114" t="n">
        <f aca="false">E4+I4+M4+Q4+U4+Y4+AC4+AG4+AK4+AO4+AS4+AW4</f>
        <v>0</v>
      </c>
      <c r="BB4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BC4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BD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BE4" s="54" t="n">
        <f aca="false">IFERROR(__xludf.dummyfunction("FILTER(FILTER('Data Scenarios 3-4'!$A$2:$BX$105,'Data Scenarios 3-4'!$A$1:$BX$1=""V_LAPTOP_3_OUTPUT""),'Data Scenarios 3-4'!$B$2:$B$105=$A4,'Data Scenarios 3-4'!$C$2:$C$105=""All"",'Data Scenarios 3-4'!$D$2:$D$105=""Standard Deviation"")"),0.000171307641759042)</f>
        <v>0.000171307641759042</v>
      </c>
      <c r="BF4" s="48" t="n">
        <f aca="false">IFERROR(__xludf.dummyfunction("FILTER(FILTER('Data Scenarios 3-4'!$A$2:$BX$105,'Data Scenarios 3-4'!$A$1:$BX$1=""I_LAPTOP_3_OUTPUT""),'Data Scenarios 3-4'!$B$2:$B$105=$A4,'Data Scenarios 3-4'!$C$2:$C$105=""All"",'Data Scenarios 3-4'!$D$2:$D$105=""Standard Deviation"")"),0.0000885321978968704)</f>
        <v>8.85321978968704E-005</v>
      </c>
      <c r="BG4" s="52" t="n">
        <f aca="false">IFERROR(__xludf.dummyfunction("FILTER(FILTER('Data Scenarios 3-4'!$A$2:$BX$105,'Data Scenarios 3-4'!$A$1:$BX$1=""V_LAPTOP_3_OUTPUT * I_LAPTOP_3_OUTPUT""),'Data Scenarios 3-4'!$B$2:$B$105=$A4,'Data Scenarios 3-4'!$C$2:$C$105=""All"",'Data Scenarios 3-4'!$D$2:$D$105=""Covariance"")"),0.0000000147688387805917)</f>
        <v>1.47688387805917E-008</v>
      </c>
      <c r="BH4" s="50" t="n">
        <f aca="false">IFERROR(__xludf.dummyfunction("FILTER(FILTER('Data Scenarios 3-4'!$A$2:$BX$105,'Data Scenarios 3-4'!$A$1:$BX$1=""P_LAPTOP_3_OUTPUT""),'Data Scenarios 3-4'!$B$2:$B$105=$A4,'Data Scenarios 3-4'!$C$2:$C$105=""All"",'Data Scenarios 3-4'!$D$2:$D$105=""Standard Deviation"")"),0.00168128018242753)</f>
        <v>0.00168128018242753</v>
      </c>
      <c r="BI4" s="51" t="n">
        <f aca="false">SQRT(BE4^2*(C4)^2+BF4^2*(B4)^2+2*BG4*(C4)*(B4))</f>
        <v>0.00168128483741208</v>
      </c>
      <c r="BJ4" s="47" t="n">
        <f aca="false">IFERROR(__xludf.dummyfunction("FILTER(FILTER('Data Scenarios 3-4'!$A$2:$BX$105,'Data Scenarios 3-4'!$A$1:$BX$1=""V_LAPTOP_4_OUTPUT""),'Data Scenarios 3-4'!$B$2:$B$105=$A4,'Data Scenarios 3-4'!$C$2:$C$105=""All"",'Data Scenarios 3-4'!$D$2:$D$105=""Standard Deviation"")"),0.000296337893547362)</f>
        <v>0.000296337893547362</v>
      </c>
      <c r="BK4" s="48" t="n">
        <f aca="false">IFERROR(__xludf.dummyfunction("FILTER(FILTER('Data Scenarios 3-4'!$A$2:$BX$105,'Data Scenarios 3-4'!$A$1:$BX$1=""I_LAPTOP_4_OUTPUT""),'Data Scenarios 3-4'!$B$2:$B$105=$A4,'Data Scenarios 3-4'!$C$2:$C$105=""All"",'Data Scenarios 3-4'!$D$2:$D$105=""Standard Deviation"")"),0.0000175233890421612)</f>
        <v>1.75233890421612E-005</v>
      </c>
      <c r="BL4" s="81" t="n">
        <f aca="false">IFERROR(__xludf.dummyfunction("FILTER(FILTER('Data Scenarios 3-4'!$A$2:$BX$105,'Data Scenarios 3-4'!$A$1:$BX$1=""V_LAPTOP_4_OUTPUT * I_LAPTOP_4_OUTPUT""),'Data Scenarios 3-4'!$B$2:$B$105=$A4,'Data Scenarios 3-4'!$C$2:$C$105=""All"",'Data Scenarios 3-4'!$D$2:$D$105=""Covariance"")"),-0.00000000260943654543766)</f>
        <v>-2.60943654543766E-009</v>
      </c>
      <c r="BM4" s="50" t="n">
        <f aca="false">IFERROR(__xludf.dummyfunction("FILTER(FILTER('Data Scenarios 3-4'!$A$2:$BX$105,'Data Scenarios 3-4'!$A$1:$BX$1=""P_LAPTOP_4_OUTPUT""),'Data Scenarios 3-4'!$B$2:$B$105=$A4,'Data Scenarios 3-4'!$C$2:$C$105=""All"",'Data Scenarios 3-4'!$D$2:$D$105=""Standard Deviation"")"),0.000325306572211293)</f>
        <v>0.000325306572211293</v>
      </c>
      <c r="BN4" s="51" t="n">
        <f aca="false">SQRT(BJ4^2*(G4)^2+BK4^2*(F4)^2+2*BL4*(G4)*(F4))</f>
        <v>0.000325309981869116</v>
      </c>
      <c r="BO4" s="47" t="n">
        <f aca="false">IFERROR(__xludf.dummyfunction("FILTER(FILTER('Data Scenarios 3-4'!$A$2:$BX$105,'Data Scenarios 3-4'!$A$1:$BX$1=""V_LAPTOP_5_OUTPUT""),'Data Scenarios 3-4'!$B$2:$B$105=$A4,'Data Scenarios 3-4'!$C$2:$C$105=""All"",'Data Scenarios 3-4'!$D$2:$D$105=""Standard Deviation"")"),0.0000917789600081535)</f>
        <v>9.17789600081535E-005</v>
      </c>
      <c r="BP4" s="48" t="n">
        <f aca="false">IFERROR(__xludf.dummyfunction("FILTER(FILTER('Data Scenarios 3-4'!$A$2:$BX$105,'Data Scenarios 3-4'!$A$1:$BX$1=""I_LAPTOP_5_OUTPUT""),'Data Scenarios 3-4'!$B$2:$B$105=$A4,'Data Scenarios 3-4'!$C$2:$C$105=""All"",'Data Scenarios 3-4'!$D$2:$D$105=""Standard Deviation"")"),0.000112610879350299)</f>
        <v>0.000112610879350299</v>
      </c>
      <c r="BQ4" s="52" t="n">
        <f aca="false">IFERROR(__xludf.dummyfunction("FILTER(FILTER('Data Scenarios 3-4'!$A$2:$BX$105,'Data Scenarios 3-4'!$A$1:$BX$1=""V_LAPTOP_5_OUTPUT * I_LAPTOP_5_OUTPUT""),'Data Scenarios 3-4'!$B$2:$B$105=$A4,'Data Scenarios 3-4'!$C$2:$C$105=""All"",'Data Scenarios 3-4'!$D$2:$D$105=""Covariance"")"),0.0000000102395682491763)</f>
        <v>1.02395682491763E-008</v>
      </c>
      <c r="BR4" s="50" t="n">
        <f aca="false">IFERROR(__xludf.dummyfunction("FILTER(FILTER('Data Scenarios 3-4'!$A$2:$BX$105,'Data Scenarios 3-4'!$A$1:$BX$1=""P_LAPTOP_5_OUTPUT""),'Data Scenarios 3-4'!$B$2:$B$105=$A4,'Data Scenarios 3-4'!$C$2:$C$105=""All"",'Data Scenarios 3-4'!$D$2:$D$105=""Standard Deviation"")"),0.00210666813659572)</f>
        <v>0.00210666813659572</v>
      </c>
      <c r="BS4" s="51" t="n">
        <f aca="false">SQRT(BO4^2*(K4)^2+BP4^2*(J4)^2+2*BQ4*(K4)*(J4))</f>
        <v>0.002106660747082</v>
      </c>
      <c r="BT4" s="54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BU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BV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BW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BX4" s="51" t="n">
        <f aca="false">SQRT(BT4^2*(O4)^2+BU4^2*(N4)^2+2*BV4*(O4)*(N4))</f>
        <v>0.00145408114916139</v>
      </c>
      <c r="BY4" s="47" t="n">
        <f aca="false">IFERROR(__xludf.dummyfunction("FILTER(FILTER('Data Scenarios 3-4'!$A$2:$BX$105,'Data Scenarios 3-4'!$A$1:$BX$1=""V_LED_2""),'Data Scenarios 3-4'!$B$2:$B$105=$A4,'Data Scenarios 3-4'!$C$2:$C$105=""All"",'Data Scenarios 3-4'!$D$2:$D$105=""Standard Deviation"")"),0.000650949046317437)</f>
        <v>0.000650949046317437</v>
      </c>
      <c r="BZ4" s="48" t="n">
        <f aca="false">IFERROR(__xludf.dummyfunction("FILTER(FILTER('Data Scenarios 3-4'!$A$2:$BX$105,'Data Scenarios 3-4'!$A$1:$BX$1=""I_LED_2""),'Data Scenarios 3-4'!$B$2:$B$105=$A4,'Data Scenarios 3-4'!$C$2:$C$105=""All"",'Data Scenarios 3-4'!$D$2:$D$105=""Standard Deviation"")"),0.000128044301936973)</f>
        <v>0.000128044301936973</v>
      </c>
      <c r="CA4" s="52" t="n">
        <f aca="false">IFERROR(__xludf.dummyfunction("FILTER(FILTER('Data Scenarios 3-4'!$A$2:$BX$105,'Data Scenarios 3-4'!$A$1:$BX$1=""V_LED_2 * I_LED_2""),'Data Scenarios 3-4'!$B$2:$B$105=$A4,'Data Scenarios 3-4'!$C$2:$C$105=""All"",'Data Scenarios 3-4'!$D$2:$D$105=""Covariance"")"),-0.0000000779980749739901)</f>
        <v>-7.79980749739901E-008</v>
      </c>
      <c r="CB4" s="50" t="n">
        <f aca="false">IFERROR(__xludf.dummyfunction("FILTER(FILTER('Data Scenarios 3-4'!$A$2:$BX$105,'Data Scenarios 3-4'!$A$1:$BX$1=""P_LED_2""),'Data Scenarios 3-4'!$B$2:$B$105=$A4,'Data Scenarios 3-4'!$C$2:$C$105=""All"",'Data Scenarios 3-4'!$D$2:$D$105=""Standard Deviation"")"),0.00308862479791882)</f>
        <v>0.00308862479791882</v>
      </c>
      <c r="CC4" s="51" t="n">
        <f aca="false">SQRT(BY4^2*(S4)^2+BZ4^2*(R4)^2+2*CA4*(S4)*(R4))</f>
        <v>0.00308865500567313</v>
      </c>
      <c r="CD4" s="47" t="n">
        <f aca="false">IFERROR(__xludf.dummyfunction("FILTER(FILTER('Data Scenarios 3-4'!$A$2:$BX$105,'Data Scenarios 3-4'!$A$1:$BX$1=""V_LED_1""),'Data Scenarios 3-4'!$B$2:$B$105=$A4,'Data Scenarios 3-4'!$C$2:$C$105=""All"",'Data Scenarios 3-4'!$D$2:$D$105=""Standard Deviation"")"),0.0006167917468308)</f>
        <v>0.0006167917468308</v>
      </c>
      <c r="CE4" s="70" t="n">
        <f aca="false">IFERROR(__xludf.dummyfunction("FILTER(FILTER('Data Scenarios 3-4'!$A$2:$BX$105,'Data Scenarios 3-4'!$A$1:$BX$1=""I_LED_1""),'Data Scenarios 3-4'!$B$2:$B$105=$A4,'Data Scenarios 3-4'!$C$2:$C$105=""All"",'Data Scenarios 3-4'!$D$2:$D$105=""Standard Deviation"")"),0.0000600563493101623)</f>
        <v>6.00563493101623E-005</v>
      </c>
      <c r="CF4" s="52" t="n">
        <f aca="false">IFERROR(__xludf.dummyfunction("FILTER(FILTER('Data Scenarios 3-4'!$A$2:$BX$105,'Data Scenarios 3-4'!$A$1:$BX$1=""V_LED_1 * I_LED_1""),'Data Scenarios 3-4'!$B$2:$B$105=$A4,'Data Scenarios 3-4'!$C$2:$C$105=""All"",'Data Scenarios 3-4'!$D$2:$D$105=""Covariance"")"),-0.00000000513207460890727)</f>
        <v>-5.13207460890727E-009</v>
      </c>
      <c r="CG4" s="50" t="n">
        <f aca="false">IFERROR(__xludf.dummyfunction("FILTER(FILTER('Data Scenarios 3-4'!$A$2:$BX$105,'Data Scenarios 3-4'!$A$1:$BX$1=""P_LED_1""),'Data Scenarios 3-4'!$B$2:$B$105=$A4,'Data Scenarios 3-4'!$C$2:$C$105=""All"",'Data Scenarios 3-4'!$D$2:$D$105=""Standard Deviation"")"),0.00145413801986884)</f>
        <v>0.00145413801986884</v>
      </c>
      <c r="CH4" s="51" t="n">
        <f aca="false">SQRT(CD4^2*(W4)^2+CE4^2*(V4)^2+2*CF4*(W4)*(V4))</f>
        <v>0.00145193063175981</v>
      </c>
      <c r="CI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J4" s="116" t="n">
        <v>0</v>
      </c>
      <c r="CK4" s="41" t="n">
        <f aca="false">IFERROR(__xludf.dummyfunction("FILTER(FILTER('Data Scenarios 3-4'!$A$2:$BX$105,'Data Scenarios 3-4'!$A$1:$BX$1=""P_HEATER_1_A""),'Data Scenarios 3-4'!$B$2:$B$105=$A4,'Data Scenarios 3-4'!$C$2:$C$105=""All"",'Data Scenarios 3-4'!$D$2:$D$105=""Standard Deviation"")"),0)</f>
        <v>0</v>
      </c>
      <c r="CL4" s="117" t="n">
        <f aca="false">SQRT(CI4^2*(2*Z4*AA4)^2+CJ4^2*(Z4^2)^2)</f>
        <v>0</v>
      </c>
      <c r="CM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N4" s="116" t="n">
        <v>0</v>
      </c>
      <c r="CO4" s="41" t="n">
        <f aca="false">IFERROR(__xludf.dummyfunction("FILTER(FILTER('Data Scenarios 3-4'!$A$2:$BX$105,'Data Scenarios 3-4'!$A$1:$BX$1=""P_HEATER_1_B""),'Data Scenarios 3-4'!$B$2:$B$105=$A4,'Data Scenarios 3-4'!$C$2:$C$105=""All"",'Data Scenarios 3-4'!$D$2:$D$105=""Standard Deviation"")"),0)</f>
        <v>0</v>
      </c>
      <c r="CP4" s="117" t="n">
        <f aca="false">SQRT(CM4^2*(2*AD4*AE4)^2+CN4^2*(AD4^2)^2)</f>
        <v>0</v>
      </c>
      <c r="CQ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CR4" s="116" t="n">
        <v>0</v>
      </c>
      <c r="CS4" s="41" t="n">
        <f aca="false">IFERROR(__xludf.dummyfunction("FILTER(FILTER('Data Scenarios 3-4'!$A$2:$BX$105,'Data Scenarios 3-4'!$A$1:$BX$1=""P_HEATER_1_C""),'Data Scenarios 3-4'!$B$2:$B$105=$A4,'Data Scenarios 3-4'!$C$2:$C$105=""All"",'Data Scenarios 3-4'!$D$2:$D$105=""Standard Deviation"")"),0)</f>
        <v>0</v>
      </c>
      <c r="CT4" s="117" t="n">
        <f aca="false">SQRT(CQ4^2*(2*AH4*AI4)^2+CR4^2*(AH4^2)^2)</f>
        <v>0</v>
      </c>
      <c r="CU4" s="115" t="n">
        <f aca="false">IFERROR(__xludf.dummyfunction("FILTER(FILTER('Data Scenarios 3-4'!$A$2:$BX$105,'Data Scenarios 3-4'!$A$1:$BX$1=""V_an""),'Data Scenarios 3-4'!$B$2:$B$105=$A4,'Data Scenarios 3-4'!$C$2:$C$105=""All"",'Data Scenarios 3-4'!$D$2:$D$105=""Standard Deviation"")"),0.0909771230516215)</f>
        <v>0.0909771230516215</v>
      </c>
      <c r="CV4" s="116" t="n">
        <v>0</v>
      </c>
      <c r="CW4" s="41" t="n">
        <f aca="false">IFERROR(__xludf.dummyfunction("FILTER(FILTER('Data Scenarios 3-4'!$A$2:$BX$105,'Data Scenarios 3-4'!$A$1:$BX$1=""P_HEATER_2_A""),'Data Scenarios 3-4'!$B$2:$B$105=$A4,'Data Scenarios 3-4'!$C$2:$C$105=""All"",'Data Scenarios 3-4'!$D$2:$D$105=""Standard Deviation"")"),0)</f>
        <v>0</v>
      </c>
      <c r="CX4" s="117" t="n">
        <f aca="false">SQRT(CU4^2*(2*AL4*AM4)^2+CV4^2*(AL4^2)^2)</f>
        <v>0</v>
      </c>
      <c r="CY4" s="115" t="n">
        <f aca="false">IFERROR(__xludf.dummyfunction("FILTER(FILTER('Data Scenarios 3-4'!$A$2:$BX$105,'Data Scenarios 3-4'!$A$1:$BX$1=""V_bn""),'Data Scenarios 3-4'!$B$2:$B$105=$A4,'Data Scenarios 3-4'!$C$2:$C$105=""All"",'Data Scenarios 3-4'!$D$2:$D$105=""Standard Deviation"")"),0.0936042250092583)</f>
        <v>0.0936042250092583</v>
      </c>
      <c r="CZ4" s="116" t="n">
        <v>0</v>
      </c>
      <c r="DA4" s="41" t="n">
        <f aca="false">IFERROR(__xludf.dummyfunction("FILTER(FILTER('Data Scenarios 3-4'!$A$2:$BX$105,'Data Scenarios 3-4'!$A$1:$BX$1=""P_HEATER_2_B""),'Data Scenarios 3-4'!$B$2:$B$105=$A4,'Data Scenarios 3-4'!$C$2:$C$105=""All"",'Data Scenarios 3-4'!$D$2:$D$105=""Standard Deviation"")"),0)</f>
        <v>0</v>
      </c>
      <c r="DB4" s="117" t="n">
        <f aca="false">SQRT(CY4^2*(2*AP4*AQ4)^2+CZ4^2*(AP4^2)^2)</f>
        <v>0</v>
      </c>
      <c r="DC4" s="115" t="n">
        <f aca="false">IFERROR(__xludf.dummyfunction("FILTER(FILTER('Data Scenarios 3-4'!$A$2:$BX$105,'Data Scenarios 3-4'!$A$1:$BX$1=""V_cn""),'Data Scenarios 3-4'!$B$2:$B$105=$A4,'Data Scenarios 3-4'!$C$2:$C$105=""All"",'Data Scenarios 3-4'!$D$2:$D$105=""Standard Deviation"")"),0.0956852392069034)</f>
        <v>0.0956852392069034</v>
      </c>
      <c r="DD4" s="116" t="n">
        <v>0</v>
      </c>
      <c r="DE4" s="41" t="n">
        <f aca="false">IFERROR(__xludf.dummyfunction("FILTER(FILTER('Data Scenarios 3-4'!$A$2:$BX$105,'Data Scenarios 3-4'!$A$1:$BX$1=""P_HEATER_2_C""),'Data Scenarios 3-4'!$B$2:$B$105=$A4,'Data Scenarios 3-4'!$C$2:$C$105=""All"",'Data Scenarios 3-4'!$D$2:$D$105=""Standard Deviation"")"),0)</f>
        <v>0</v>
      </c>
      <c r="DF4" s="117" t="n">
        <f aca="false">SQRT(DC4^2*(2*AT4*AU4)^2+DD4^2*(AT4^2)^2)</f>
        <v>0</v>
      </c>
      <c r="DG4" s="57" t="n">
        <f aca="false">IFERROR(__xludf.dummyfunction("FILTER(FILTER('Data Scenarios 3-4'!$A$2:$BX$105,'Data Scenarios 3-4'!$A$1:$BX$1=""P_In""),'Data Scenarios 3-4'!$B$2:$B$105=$A4,'Data Scenarios 3-4'!$C$2:$C$105=""All"",'Data Scenarios 3-4'!$D$2:$D$105=""Standard Deviation"")"),0.113662558995743)</f>
        <v>0.113662558995743</v>
      </c>
      <c r="DH4" s="118" t="n">
        <f aca="false">IFERROR(__xludf.dummyfunction("FILTER(FILTER('Data Scenarios 3-4'!$A$2:$BX$105,'Data Scenarios 3-4'!$A$1:$BX$1=""P_Secondary""),'Data Scenarios 3-4'!$B$2:$B$105=$A4,'Data Scenarios 3-4'!$C$2:$C$105=""All"",'Data Scenarios 3-4'!$D$2:$D$105=""Standard Deviation"")"),0.00445603108515088)</f>
        <v>0.00445603108515088</v>
      </c>
      <c r="DI4" s="47" t="n">
        <f aca="false">IFERROR(__xludf.dummyfunction("FILTER(FILTER('Data Scenarios 3-4'!$A$2:$BX$105,'Data Scenarios 3-4'!$A$1:$BX$1=""P_Out""),'Data Scenarios 3-4'!$B$2:$B$105=$A4,'Data Scenarios 3-4'!$C$2:$C$105=""All"",'Data Scenarios 3-4'!$D$2:$D$105=""Standard Deviation"")"),0.00456396067852696)</f>
        <v>0.00456396067852696</v>
      </c>
      <c r="DJ4" s="60" t="n">
        <f aca="false">SQRT(BH4^2+BM4^2+BR4^2+BW4^2+CB4^2+CG4^2+CK4^2+CO4^2+CS4^2+CW4^2+DA4^2+DE4^2)</f>
        <v>0.00459774031013827</v>
      </c>
      <c r="DK4" s="74" t="n">
        <f aca="false">IFERROR(__xludf.dummyfunction("FILTER(FILTER('Data Scenarios 3-4'!$A$2:$BX$105,'Data Scenarios 3-4'!$A$1:$BX$1=""P_TransformerLoss""),'Data Scenarios 3-4'!$B$2:$B$105=$A4,'Data Scenarios 3-4'!$C$2:$C$105=""All"",'Data Scenarios 3-4'!$D$2:$D$105=""Standard Deviation"")"),0.109687192268429)</f>
        <v>0.109687192268429</v>
      </c>
      <c r="DL4" s="38" t="n">
        <f aca="false">IFERROR(__xludf.dummyfunction("FILTER(FILTER('Data Scenarios 3-4'!$A$2:$BX$105,'Data Scenarios 3-4'!$A$1:$BX$1=""P_ConverterLoss""),'Data Scenarios 3-4'!$B$2:$B$105=$A4,'Data Scenarios 3-4'!$C$2:$C$105=""All"",'Data Scenarios 3-4'!$D$2:$D$105=""Standard Deviation"")"),0.00702225376111139)</f>
        <v>0.00702225376111139</v>
      </c>
      <c r="DM4" s="61" t="n">
        <f aca="false">SQRT(DH4^2+MAX(DI4:DJ4)^2)</f>
        <v>0.00640276729167172</v>
      </c>
      <c r="DN4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3-4'!$D$2:$D$105=""Standard Deviation"")"),0.116563889114662)</f>
        <v>0.116563889114662</v>
      </c>
      <c r="DO4" s="62" t="n">
        <f aca="false">SQRT(DG4^2+MAX(DI4:DJ4)^2)</f>
        <v>0.113755512101261</v>
      </c>
      <c r="DP4" s="119" t="n">
        <v>56.1849232385384</v>
      </c>
      <c r="DQ4" s="120" t="n">
        <v>8.15173000140699</v>
      </c>
      <c r="DR4" s="120" t="n">
        <v>48.0331932371314</v>
      </c>
      <c r="DS4" s="120" t="n">
        <v>5.31873000140699</v>
      </c>
      <c r="DT4" s="120" t="n">
        <v>53.3519232385384</v>
      </c>
      <c r="DU4" s="121" t="n">
        <f aca="false">DP4-AX4</f>
        <v>-0.5920465670171</v>
      </c>
      <c r="DV4" s="65" t="n">
        <f aca="false">TINV(0.1,2)*DG4/SQRT(3)</f>
        <v>0.191618532114264</v>
      </c>
      <c r="DW4" s="66" t="n">
        <f aca="false">DU4/AX4</f>
        <v>-0.0104275830331327</v>
      </c>
      <c r="DX4" s="67" t="n">
        <f aca="false">DV4/AX4</f>
        <v>0.00337493411096967</v>
      </c>
      <c r="DY4" s="45" t="n">
        <f aca="false">DQ4-AY4</f>
        <v>2.85890252085144</v>
      </c>
      <c r="DZ4" s="65" t="n">
        <f aca="false">TINV(0.1,2)*DH4/SQRT(3)</f>
        <v>0.00751221988257473</v>
      </c>
      <c r="EA4" s="66" t="n">
        <f aca="false">DY4/AY4</f>
        <v>0.54014655330337</v>
      </c>
      <c r="EB4" s="67" t="n">
        <f aca="false">DZ4/AY4</f>
        <v>0.00141932075250377</v>
      </c>
      <c r="EC4" s="45" t="n">
        <f aca="false">DR4-BB4</f>
        <v>-3.4509490878686</v>
      </c>
      <c r="ED4" s="65" t="n">
        <f aca="false">TINV(0.1,2)*DK4/SQRT(3)</f>
        <v>0.184916642383519</v>
      </c>
      <c r="EE4" s="66" t="n">
        <f aca="false">EC4/BB4</f>
        <v>-0.0670293595663701</v>
      </c>
      <c r="EF4" s="67" t="n">
        <f aca="false">ED4/BB4</f>
        <v>0.00359172036345114</v>
      </c>
      <c r="EG4" s="45" t="n">
        <f aca="false">DS4-BC4</f>
        <v>2.85847940307392</v>
      </c>
      <c r="EH4" s="65" t="n">
        <f aca="false">TINV(0.1,2)*DL4/SQRT(3)</f>
        <v>0.0118384978283696</v>
      </c>
      <c r="EI4" s="66" t="n">
        <f aca="false">EG4/BC4</f>
        <v>1.16186513886458</v>
      </c>
      <c r="EJ4" s="66" t="n">
        <f aca="false">EH4/BC4</f>
        <v>0.00481190730586174</v>
      </c>
      <c r="EK4" s="45" t="n">
        <f aca="false">DT4-BD4</f>
        <v>-0.592469684794601</v>
      </c>
      <c r="EL4" s="65" t="n">
        <f aca="false">TINV(0.1,2)*DN4/SQRT(3)</f>
        <v>0.196509752437634</v>
      </c>
      <c r="EM4" s="66" t="n">
        <f aca="false">EK4/BD4</f>
        <v>-0.010982970660855</v>
      </c>
      <c r="EN4" s="66" t="n">
        <f aca="false">EL4/BD4</f>
        <v>0.0036428207231272</v>
      </c>
    </row>
    <row r="5" customFormat="false" ht="12.8" hidden="false" customHeight="false" outlineLevel="0" collapsed="false">
      <c r="A5" s="37" t="n">
        <v>3.2</v>
      </c>
      <c r="B5" s="38" t="n">
        <f aca="false">IFERROR(__xludf.dummyfunction("FILTER(FILTER('Data Scenarios 3-4'!$A$2:$BX$105,'Data Scenarios 3-4'!$A$1:$BX$1=""V_LAPTOP_3_OUTPUT""),'Data Scenarios 3-4'!$B$2:$B$105=$A5,'Data Scenarios 3-4'!$C$2:$C$105=""All"",'Data Scenarios 3-4'!$D$2:$D$105=""Mean"")"),18.2803133)</f>
        <v>18.2803133</v>
      </c>
      <c r="C5" s="65" t="n">
        <f aca="false">IFERROR(__xludf.dummyfunction("FILTER(FILTER('Data Scenarios 3-4'!$A$2:$BX$105,'Data Scenarios 3-4'!$A$1:$BX$1=""I_LAPTOP_3_OUTPUT""),'Data Scenarios 3-4'!$B$2:$B$105=$A5,'Data Scenarios 3-4'!$C$2:$C$105=""All"",'Data Scenarios 3-4'!$D$2:$D$105=""Mean"")"),3.97511503539432)</f>
        <v>3.97511503539432</v>
      </c>
      <c r="D5" s="65" t="n">
        <f aca="false">IFERROR(__xludf.dummyfunction("FILTER(FILTER('Data Scenarios 3-4'!$A$2:$BX$105,'Data Scenarios 3-4'!$A$1:$BX$1=""P_LAPTOP_3_OUTPUT""),'Data Scenarios 3-4'!$B$2:$B$105=$A5,'Data Scenarios 3-4'!$C$2:$C$105=""All"",'Data Scenarios 3-4'!$D$2:$D$105=""Mean"")"),72.6663504317215)</f>
        <v>72.6663504317215</v>
      </c>
      <c r="E5" s="68" t="n">
        <f aca="false">B5*C5</f>
        <v>72.6663482505488</v>
      </c>
      <c r="F5" s="38" t="n">
        <f aca="false">IFERROR(__xludf.dummyfunction("FILTER(FILTER('Data Scenarios 3-4'!$A$2:$BX$105,'Data Scenarios 3-4'!$A$1:$BX$1=""V_LAPTOP_4_OUTPUT""),'Data Scenarios 3-4'!$B$2:$B$105=$A5,'Data Scenarios 3-4'!$C$2:$C$105=""All"",'Data Scenarios 3-4'!$D$2:$D$105=""Mean"")"),18.1691883416666)</f>
        <v>18.1691883416666</v>
      </c>
      <c r="G5" s="3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3-4'!$D$2:$D$105=""Mean"")"),3.90037690898371)</f>
        <v>3.90037690898371</v>
      </c>
      <c r="H5" s="65" t="n">
        <f aca="false">IFERROR(__xludf.dummyfunction("FILTER(FILTER('Data Scenarios 3-4'!$A$2:$BX$105,'Data Scenarios 3-4'!$A$1:$BX$1=""P_LAPTOP_4_OUTPUT""),'Data Scenarios 3-4'!$B$2:$B$105=$A5,'Data Scenarios 3-4'!$C$2:$C$105=""All"",'Data Scenarios 3-4'!$D$2:$D$105=""Mean"")"),70.8666815112163)</f>
        <v>70.8666815112163</v>
      </c>
      <c r="I5" s="68" t="n">
        <f aca="false">F5*G5</f>
        <v>70.8666826628124</v>
      </c>
      <c r="J5" s="38" t="n">
        <f aca="false">IFERROR(__xludf.dummyfunction("FILTER(FILTER('Data Scenarios 3-4'!$A$2:$BX$105,'Data Scenarios 3-4'!$A$1:$BX$1=""V_LAPTOP_5_OUTPUT""),'Data Scenarios 3-4'!$B$2:$B$105=$A5,'Data Scenarios 3-4'!$C$2:$C$105=""All"",'Data Scenarios 3-4'!$D$2:$D$105=""Mean"")"),18.2253655194444)</f>
        <v>18.2253655194444</v>
      </c>
      <c r="K5" s="3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3-4'!$D$2:$D$105=""Mean"")"),3.86210934517736)</f>
        <v>3.86210934517736</v>
      </c>
      <c r="L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3-4'!$D$2:$D$105=""Mean"")"),70.3883161164449)</f>
        <v>70.3883161164449</v>
      </c>
      <c r="M5" s="68" t="n">
        <f aca="false">J5*K5</f>
        <v>70.3883544919195</v>
      </c>
      <c r="N5" s="38" t="n">
        <f aca="false">IFERROR(__xludf.dummyfunction("FILTER(FILTER('Data Scenarios 3-4'!$A$2:$BX$105,'Data Scenarios 3-4'!$A$1:$BX$1=""V_LED_1""),'Data Scenarios 3-4'!$B$2:$B$105=$A5,'Data Scenarios 3-4'!$C$2:$C$105=""All"",'Data Scenarios 3-4'!$D$2:$D$105=""Mean"")"),24.1660237527777)</f>
        <v>24.1660237527777</v>
      </c>
      <c r="O5" s="38" t="n">
        <f aca="false">IFERROR(__xludf.dummyfunction("FILTER(FILTER('Data Scenarios 3-4'!$A$2:$BX$105,'Data Scenarios 3-4'!$A$1:$BX$1=""I_LED_1""),'Data Scenarios 3-4'!$B$2:$B$105=$A5,'Data Scenarios 3-4'!$C$2:$C$105=""All"",'Data Scenarios 3-4'!$D$2:$D$105=""Mean"")"),1.14237527889119)</f>
        <v>1.14237527889119</v>
      </c>
      <c r="P5" s="65" t="n">
        <f aca="false">IFERROR(__xludf.dummyfunction("FILTER(FILTER('Data Scenarios 3-4'!$A$2:$BX$105,'Data Scenarios 3-4'!$A$1:$BX$1=""P_LED_1""),'Data Scenarios 3-4'!$B$2:$B$105=$A5,'Data Scenarios 3-4'!$C$2:$C$105=""All"",'Data Scenarios 3-4'!$D$2:$D$105=""Mean"")"),27.6064588461497)</f>
        <v>27.6064588461497</v>
      </c>
      <c r="Q5" s="69" t="n">
        <f aca="false">N5*O5</f>
        <v>27.6066681242705</v>
      </c>
      <c r="R5" s="38" t="n">
        <f aca="false">IFERROR(__xludf.dummyfunction("FILTER(FILTER('Data Scenarios 3-4'!$A$2:$BX$105,'Data Scenarios 3-4'!$A$1:$BX$1=""V_LED_2""),'Data Scenarios 3-4'!$B$2:$B$105=$A5,'Data Scenarios 3-4'!$C$2:$C$105=""All"",'Data Scenarios 3-4'!$D$2:$D$105=""Mean"")"),24.0985201694444)</f>
        <v>24.0985201694444</v>
      </c>
      <c r="S5" s="38" t="n">
        <f aca="false">IFERROR(__xludf.dummyfunction("FILTER(FILTER('Data Scenarios 3-4'!$A$2:$BX$105,'Data Scenarios 3-4'!$A$1:$BX$1=""I_LED_2""),'Data Scenarios 3-4'!$B$2:$B$105=$A5,'Data Scenarios 3-4'!$C$2:$C$105=""All"",'Data Scenarios 3-4'!$D$2:$D$105=""Mean"")"),1.18054403036353)</f>
        <v>1.18054403036353</v>
      </c>
      <c r="T5" s="65" t="n">
        <f aca="false">IFERROR(__xludf.dummyfunction("FILTER(FILTER('Data Scenarios 3-4'!$A$2:$BX$105,'Data Scenarios 3-4'!$A$1:$BX$1=""P_LED_2""),'Data Scenarios 3-4'!$B$2:$B$105=$A5,'Data Scenarios 3-4'!$C$2:$C$105=""All"",'Data Scenarios 3-4'!$D$2:$D$105=""Mean"")"),28.4490730728101)</f>
        <v>28.4490730728101</v>
      </c>
      <c r="U5" s="69" t="n">
        <f aca="false">R5*S5</f>
        <v>28.4493641266327</v>
      </c>
      <c r="V5" s="38" t="n">
        <f aca="false">IFERROR(__xludf.dummyfunction("FILTER(FILTER('Data Scenarios 3-4'!$A$2:$BX$105,'Data Scenarios 3-4'!$A$1:$BX$1=""V_LED_3""),'Data Scenarios 3-4'!$B$2:$B$105=$A5,'Data Scenarios 3-4'!$C$2:$C$105=""All"",'Data Scenarios 3-4'!$D$2:$D$105=""Mean"")"),24.1327633999999)</f>
        <v>24.1327633999999</v>
      </c>
      <c r="W5" s="38" t="n">
        <f aca="false">IFERROR(__xludf.dummyfunction("FILTER(FILTER('Data Scenarios 3-4'!$A$2:$BX$105,'Data Scenarios 3-4'!$A$1:$BX$1=""I_LED_3""),'Data Scenarios 3-4'!$B$2:$B$105=$A5,'Data Scenarios 3-4'!$C$2:$C$105=""All"",'Data Scenarios 3-4'!$D$2:$D$105=""Mean"")"),1.1443169044732)</f>
        <v>1.1443169044732</v>
      </c>
      <c r="X5" s="65" t="n">
        <f aca="false">IFERROR(__xludf.dummyfunction("FILTER(FILTER('Data Scenarios 3-4'!$A$2:$BX$105,'Data Scenarios 3-4'!$A$1:$BX$1=""P_LED_3""),'Data Scenarios 3-4'!$B$2:$B$105=$A5,'Data Scenarios 3-4'!$C$2:$C$105=""All"",'Data Scenarios 3-4'!$D$2:$D$105=""Mean"")"),27.6150130954887)</f>
        <v>27.6150130954887</v>
      </c>
      <c r="Y5" s="69" t="n">
        <f aca="false">V5*W5</f>
        <v>27.615529110272</v>
      </c>
      <c r="Z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A5" s="112" t="n">
        <v>0</v>
      </c>
      <c r="AB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3-4'!$D$2:$D$105=""Mean"")"),0)</f>
        <v>0</v>
      </c>
      <c r="AC5" s="113" t="n">
        <f aca="false">Z5^2*AA5</f>
        <v>0</v>
      </c>
      <c r="AD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E5" s="112" t="n">
        <v>0</v>
      </c>
      <c r="AF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3-4'!$D$2:$D$105=""Mean"")"),0)</f>
        <v>0</v>
      </c>
      <c r="AG5" s="113" t="n">
        <f aca="false">AD5^2*AE5</f>
        <v>0</v>
      </c>
      <c r="AH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I5" s="112" t="n">
        <v>0</v>
      </c>
      <c r="AJ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3-4'!$D$2:$D$105=""Mean"")"),0)</f>
        <v>0</v>
      </c>
      <c r="AK5" s="113" t="n">
        <f aca="false">AH5^2*AI5</f>
        <v>0</v>
      </c>
      <c r="AL5" s="111" t="n">
        <f aca="false">IFERROR(__xludf.dummyfunction("FILTER(FILTER('Data Scenarios 3-4'!$A$2:$BX$105,'Data Scenarios 3-4'!$A$1:$BX$1=""V_an""),'Data Scenarios 3-4'!$B$2:$B$105=$A5,'Data Scenarios 3-4'!$C$2:$C$105=""All"",'Data Scenarios 3-4'!$D$2:$D$105=""Mean"")"),123.273792777777)</f>
        <v>123.273792777777</v>
      </c>
      <c r="AM5" s="112" t="n">
        <v>0</v>
      </c>
      <c r="AN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3-4'!$D$2:$D$105=""Mean"")"),0)</f>
        <v>0</v>
      </c>
      <c r="AO5" s="113" t="n">
        <f aca="false">AL5^2*AM5</f>
        <v>0</v>
      </c>
      <c r="AP5" s="111" t="n">
        <f aca="false">IFERROR(__xludf.dummyfunction("FILTER(FILTER('Data Scenarios 3-4'!$A$2:$BX$105,'Data Scenarios 3-4'!$A$1:$BX$1=""V_bn""),'Data Scenarios 3-4'!$B$2:$B$105=$A5,'Data Scenarios 3-4'!$C$2:$C$105=""All"",'Data Scenarios 3-4'!$D$2:$D$105=""Mean"")"),123.152415555555)</f>
        <v>123.152415555555</v>
      </c>
      <c r="AQ5" s="112" t="n">
        <v>0</v>
      </c>
      <c r="AR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3-4'!$D$2:$D$105=""Mean"")"),0)</f>
        <v>0</v>
      </c>
      <c r="AS5" s="113" t="n">
        <f aca="false">AP5^2*AQ5</f>
        <v>0</v>
      </c>
      <c r="AT5" s="111" t="n">
        <f aca="false">IFERROR(__xludf.dummyfunction("FILTER(FILTER('Data Scenarios 3-4'!$A$2:$BX$105,'Data Scenarios 3-4'!$A$1:$BX$1=""V_cn""),'Data Scenarios 3-4'!$B$2:$B$105=$A5,'Data Scenarios 3-4'!$C$2:$C$105=""All"",'Data Scenarios 3-4'!$D$2:$D$105=""Mean"")"),123.359383333333)</f>
        <v>123.359383333333</v>
      </c>
      <c r="AU5" s="112" t="n">
        <v>0</v>
      </c>
      <c r="AV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3-4'!$D$2:$D$105=""Mean"")"),0)</f>
        <v>0</v>
      </c>
      <c r="AW5" s="113" t="n">
        <f aca="false">AT5^2*AU5</f>
        <v>0</v>
      </c>
      <c r="AX5" s="44" t="n">
        <f aca="false">IFERROR(__xludf.dummyfunction("FILTER(FILTER('Data Scenarios 3-4'!$A$2:$BX$105,'Data Scenarios 3-4'!$A$1:$BX$1=""P_In""),'Data Scenarios 3-4'!$B$2:$B$105=$A5,'Data Scenarios 3-4'!$C$2:$C$105=""All"",'Data Scenarios 3-4'!$D$2:$D$105=""Mean"")"),415.304290833333)</f>
        <v>415.304290833333</v>
      </c>
      <c r="AY5" s="74" t="n">
        <f aca="false">IFERROR(__xludf.dummyfunction("FILTER(FILTER('Data Scenarios 3-4'!$A$2:$BX$105,'Data Scenarios 3-4'!$A$1:$BX$1=""P_Secondary""),'Data Scenarios 3-4'!$B$2:$B$105=$A5,'Data Scenarios 3-4'!$C$2:$C$105=""All"",'Data Scenarios 3-4'!$D$2:$D$105=""Mean"")"),357.634278055555)</f>
        <v>357.634278055555</v>
      </c>
      <c r="AZ5" s="59" t="n">
        <f aca="false">IFERROR(__xludf.dummyfunction("FILTER(FILTER('Data Scenarios 3-4'!$A$2:$BX$105,'Data Scenarios 3-4'!$A$1:$BX$1=""P_Out""),'Data Scenarios 3-4'!$B$2:$B$105=$A5,'Data Scenarios 3-4'!$C$2:$C$105=""All"",'Data Scenarios 3-4'!$D$2:$D$105=""Mean"")"),297.591893073831)</f>
        <v>297.591893073831</v>
      </c>
      <c r="BA5" s="114" t="n">
        <f aca="false">E5+I5+M5+Q5+U5+Y5+AC5+AG5+AK5+AO5+AS5+AW5</f>
        <v>297.592946766456</v>
      </c>
      <c r="BB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BC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BD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BE5" s="54" t="n">
        <f aca="false">IFERROR(__xludf.dummyfunction("FILTER(FILTER('Data Scenarios 3-4'!$A$2:$BX$105,'Data Scenarios 3-4'!$A$1:$BX$1=""V_LAPTOP_3_OUTPUT""),'Data Scenarios 3-4'!$B$2:$B$105=$A5,'Data Scenarios 3-4'!$C$2:$C$105=""All"",'Data Scenarios 3-4'!$D$2:$D$105=""Standard Deviation"")"),0.00233112686378751)</f>
        <v>0.00233112686378751</v>
      </c>
      <c r="BF5" s="48" t="n">
        <f aca="false">IFERROR(__xludf.dummyfunction("FILTER(FILTER('Data Scenarios 3-4'!$A$2:$BX$105,'Data Scenarios 3-4'!$A$1:$BX$1=""I_LAPTOP_3_OUTPUT""),'Data Scenarios 3-4'!$B$2:$B$105=$A5,'Data Scenarios 3-4'!$C$2:$C$105=""All"",'Data Scenarios 3-4'!$D$2:$D$105=""Standard Deviation"")"),0.00119341853442573)</f>
        <v>0.00119341853442573</v>
      </c>
      <c r="BG5" s="50" t="n">
        <f aca="false">IFERROR(__xludf.dummyfunction("FILTER(FILTER('Data Scenarios 3-4'!$A$2:$BX$105,'Data Scenarios 3-4'!$A$1:$BX$1=""V_LAPTOP_3_OUTPUT * I_LAPTOP_3_OUTPUT""),'Data Scenarios 3-4'!$B$2:$B$105=$A5,'Data Scenarios 3-4'!$C$2:$C$105=""All"",'Data Scenarios 3-4'!$D$2:$D$105=""Covariance"")"),0.0000027548104408709)</f>
        <v>2.7548104408709E-006</v>
      </c>
      <c r="BH5" s="50" t="n">
        <f aca="false">IFERROR(__xludf.dummyfunction("FILTER(FILTER('Data Scenarios 3-4'!$A$2:$BX$105,'Data Scenarios 3-4'!$A$1:$BX$1=""P_LAPTOP_3_OUTPUT""),'Data Scenarios 3-4'!$B$2:$B$105=$A5,'Data Scenarios 3-4'!$C$2:$C$105=""All"",'Data Scenarios 3-4'!$D$2:$D$105=""Standard Deviation"")"),0.0310180827303736)</f>
        <v>0.0310180827303736</v>
      </c>
      <c r="BI5" s="51" t="n">
        <f aca="false">SQRT(BE5^2*(C5)^2+BF5^2*(B5)^2+2*BG5*(C5)*(B5))</f>
        <v>0.0310189084905613</v>
      </c>
      <c r="BJ5" s="47" t="n">
        <f aca="false">IFERROR(__xludf.dummyfunction("FILTER(FILTER('Data Scenarios 3-4'!$A$2:$BX$105,'Data Scenarios 3-4'!$A$1:$BX$1=""V_LAPTOP_4_OUTPUT""),'Data Scenarios 3-4'!$B$2:$B$105=$A5,'Data Scenarios 3-4'!$C$2:$C$105=""All"",'Data Scenarios 3-4'!$D$2:$D$105=""Standard Deviation"")"),0.00277010049247413)</f>
        <v>0.00277010049247413</v>
      </c>
      <c r="BK5" s="48" t="n">
        <f aca="false">IFERROR(__xludf.dummyfunction("FILTER(FILTER('Data Scenarios 3-4'!$A$2:$BX$105,'Data Scenarios 3-4'!$A$1:$BX$1=""I_LAPTOP_4_OUTPUT""),'Data Scenarios 3-4'!$B$2:$B$105=$A5,'Data Scenarios 3-4'!$C$2:$C$105=""All"",'Data Scenarios 3-4'!$D$2:$D$105=""Standard Deviation"")"),0.000659089062416238)</f>
        <v>0.000659089062416238</v>
      </c>
      <c r="BL5" s="38" t="n">
        <f aca="false">IFERROR(__xludf.dummyfunction("FILTER(FILTER('Data Scenarios 3-4'!$A$2:$BX$105,'Data Scenarios 3-4'!$A$1:$BX$1=""V_LAPTOP_4_OUTPUT * I_LAPTOP_4_OUTPUT""),'Data Scenarios 3-4'!$B$2:$B$105=$A5,'Data Scenarios 3-4'!$C$2:$C$105=""All"",'Data Scenarios 3-4'!$D$2:$D$105=""Covariance"")"),-0.00000181379548594613)</f>
        <v>-1.81379548594613E-006</v>
      </c>
      <c r="BM5" s="50" t="n">
        <f aca="false">IFERROR(__xludf.dummyfunction("FILTER(FILTER('Data Scenarios 3-4'!$A$2:$BX$105,'Data Scenarios 3-4'!$A$1:$BX$1=""P_LAPTOP_4_OUTPUT""),'Data Scenarios 3-4'!$B$2:$B$105=$A5,'Data Scenarios 3-4'!$C$2:$C$105=""All"",'Data Scenarios 3-4'!$D$2:$D$105=""Standard Deviation"")"),0.00174934426991039)</f>
        <v>0.00174934426991039</v>
      </c>
      <c r="BN5" s="51" t="n">
        <f aca="false">SQRT(BJ5^2*(G5)^2+BK5^2*(F5)^2+2*BL5*(G5)*(F5))</f>
        <v>0.00175038216618632</v>
      </c>
      <c r="BO5" s="47" t="n">
        <f aca="false">IFERROR(__xludf.dummyfunction("FILTER(FILTER('Data Scenarios 3-4'!$A$2:$BX$105,'Data Scenarios 3-4'!$A$1:$BX$1=""V_LAPTOP_5_OUTPUT""),'Data Scenarios 3-4'!$B$2:$B$105=$A5,'Data Scenarios 3-4'!$C$2:$C$105=""All"",'Data Scenarios 3-4'!$D$2:$D$105=""Standard Deviation"")"),0.00884422643138626)</f>
        <v>0.00884422643138626</v>
      </c>
      <c r="BP5" s="48" t="n">
        <f aca="false">IFERROR(__xludf.dummyfunction("FILTER(FILTER('Data Scenarios 3-4'!$A$2:$BX$105,'Data Scenarios 3-4'!$A$1:$BX$1=""I_LAPTOP_5_OUTPUT""),'Data Scenarios 3-4'!$B$2:$B$105=$A5,'Data Scenarios 3-4'!$C$2:$C$105=""All"",'Data Scenarios 3-4'!$D$2:$D$105=""Standard Deviation"")"),0.00758155509145637)</f>
        <v>0.00758155509145637</v>
      </c>
      <c r="BQ5" s="52" t="n">
        <f aca="false">IFERROR(__xludf.dummyfunction("FILTER(FILTER('Data Scenarios 3-4'!$A$2:$BX$105,'Data Scenarios 3-4'!$A$1:$BX$1=""V_LAPTOP_5_OUTPUT * I_LAPTOP_5_OUTPUT""),'Data Scenarios 3-4'!$B$2:$B$105=$A5,'Data Scenarios 3-4'!$C$2:$C$105=""All"",'Data Scenarios 3-4'!$D$2:$D$105=""Covariance"")"),-0.0000545383402330347)</f>
        <v>-5.45383402330347E-005</v>
      </c>
      <c r="BR5" s="65" t="n">
        <f aca="false">IFERROR(__xludf.dummyfunction("FILTER(FILTER('Data Scenarios 3-4'!$A$2:$BX$105,'Data Scenarios 3-4'!$A$1:$BX$1=""P_LAPTOP_5_OUTPUT""),'Data Scenarios 3-4'!$B$2:$B$105=$A5,'Data Scenarios 3-4'!$C$2:$C$105=""All"",'Data Scenarios 3-4'!$D$2:$D$105=""Standard Deviation"")"),0.112148845918101)</f>
        <v>0.112148845918101</v>
      </c>
      <c r="BS5" s="51" t="n">
        <f aca="false">SQRT(BO5^2*(K5)^2+BP5^2*(J5)^2+2*BQ5*(K5)*(J5))</f>
        <v>0.112168507851496</v>
      </c>
      <c r="BT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BU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BV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BW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BX5" s="73" t="n">
        <f aca="false">SQRT(BT5^2*(O5)^2+BU5^2*(N5)^2+2*BV5*(O5)*(N5))</f>
        <v>0.511629868886655</v>
      </c>
      <c r="BY5" s="59" t="n">
        <f aca="false">IFERROR(__xludf.dummyfunction("FILTER(FILTER('Data Scenarios 3-4'!$A$2:$BX$105,'Data Scenarios 3-4'!$A$1:$BX$1=""V_LED_2""),'Data Scenarios 3-4'!$B$2:$B$105=$A5,'Data Scenarios 3-4'!$C$2:$C$105=""All"",'Data Scenarios 3-4'!$D$2:$D$105=""Standard Deviation"")"),0.0169715611158143)</f>
        <v>0.0169715611158143</v>
      </c>
      <c r="BZ5" s="38" t="n">
        <f aca="false">IFERROR(__xludf.dummyfunction("FILTER(FILTER('Data Scenarios 3-4'!$A$2:$BX$105,'Data Scenarios 3-4'!$A$1:$BX$1=""I_LED_2""),'Data Scenarios 3-4'!$B$2:$B$105=$A5,'Data Scenarios 3-4'!$C$2:$C$105=""All"",'Data Scenarios 3-4'!$D$2:$D$105=""Standard Deviation"")"),0.0253656700154139)</f>
        <v>0.0253656700154139</v>
      </c>
      <c r="CA5" s="48" t="n">
        <f aca="false">IFERROR(__xludf.dummyfunction("FILTER(FILTER('Data Scenarios 3-4'!$A$2:$BX$105,'Data Scenarios 3-4'!$A$1:$BX$1=""V_LED_2 * I_LED_2""),'Data Scenarios 3-4'!$B$2:$B$105=$A5,'Data Scenarios 3-4'!$C$2:$C$105=""All"",'Data Scenarios 3-4'!$D$2:$D$105=""Covariance"")"),-0.00042768508766258)</f>
        <v>-0.00042768508766258</v>
      </c>
      <c r="CB5" s="65" t="n">
        <f aca="false">IFERROR(__xludf.dummyfunction("FILTER(FILTER('Data Scenarios 3-4'!$A$2:$BX$105,'Data Scenarios 3-4'!$A$1:$BX$1=""P_LED_2""),'Data Scenarios 3-4'!$B$2:$B$105=$A5,'Data Scenarios 3-4'!$C$2:$C$105=""All"",'Data Scenarios 3-4'!$D$2:$D$105=""Standard Deviation"")"),0.591532299407876)</f>
        <v>0.591532299407876</v>
      </c>
      <c r="CC5" s="73" t="n">
        <f aca="false">SQRT(BY5^2*(S5)^2+BZ5^2*(R5)^2+2*CA5*(S5)*(R5))</f>
        <v>0.591374628630681</v>
      </c>
      <c r="CD5" s="59" t="n">
        <f aca="false">IFERROR(__xludf.dummyfunction("FILTER(FILTER('Data Scenarios 3-4'!$A$2:$BX$105,'Data Scenarios 3-4'!$A$1:$BX$1=""V_LED_1""),'Data Scenarios 3-4'!$B$2:$B$105=$A5,'Data Scenarios 3-4'!$C$2:$C$105=""All"",'Data Scenarios 3-4'!$D$2:$D$105=""Standard Deviation"")"),0.0143328529511101)</f>
        <v>0.0143328529511101</v>
      </c>
      <c r="CE5" s="38" t="n">
        <f aca="false">IFERROR(__xludf.dummyfunction("FILTER(FILTER('Data Scenarios 3-4'!$A$2:$BX$105,'Data Scenarios 3-4'!$A$1:$BX$1=""I_LED_1""),'Data Scenarios 3-4'!$B$2:$B$105=$A5,'Data Scenarios 3-4'!$C$2:$C$105=""All"",'Data Scenarios 3-4'!$D$2:$D$105=""Standard Deviation"")"),0.0218358756387135)</f>
        <v>0.0218358756387135</v>
      </c>
      <c r="CF5" s="48" t="n">
        <f aca="false">IFERROR(__xludf.dummyfunction("FILTER(FILTER('Data Scenarios 3-4'!$A$2:$BX$105,'Data Scenarios 3-4'!$A$1:$BX$1=""V_LED_1 * I_LED_1""),'Data Scenarios 3-4'!$B$2:$B$105=$A5,'Data Scenarios 3-4'!$C$2:$C$105=""All"",'Data Scenarios 3-4'!$D$2:$D$105=""Covariance"")"),-0.000307095889890091)</f>
        <v>-0.000307095889890091</v>
      </c>
      <c r="CG5" s="65" t="n">
        <f aca="false">IFERROR(__xludf.dummyfunction("FILTER(FILTER('Data Scenarios 3-4'!$A$2:$BX$105,'Data Scenarios 3-4'!$A$1:$BX$1=""P_LED_1""),'Data Scenarios 3-4'!$B$2:$B$105=$A5,'Data Scenarios 3-4'!$C$2:$C$105=""All"",'Data Scenarios 3-4'!$D$2:$D$105=""Standard Deviation"")"),0.511775432281936)</f>
        <v>0.511775432281936</v>
      </c>
      <c r="CH5" s="73" t="n">
        <f aca="false">SQRT(CD5^2*(W5)^2+CE5^2*(V5)^2+2*CF5*(W5)*(V5))</f>
        <v>0.510876340849874</v>
      </c>
      <c r="CI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J5" s="116" t="n">
        <v>0</v>
      </c>
      <c r="CK5" s="41" t="n">
        <f aca="false">IFERROR(__xludf.dummyfunction("FILTER(FILTER('Data Scenarios 3-4'!$A$2:$BX$105,'Data Scenarios 3-4'!$A$1:$BX$1=""P_HEATER_1_A""),'Data Scenarios 3-4'!$B$2:$B$105=$A5,'Data Scenarios 3-4'!$C$2:$C$105=""All"",'Data Scenarios 3-4'!$D$2:$D$105=""Standard Deviation"")"),0)</f>
        <v>0</v>
      </c>
      <c r="CL5" s="117" t="n">
        <f aca="false">SQRT(CI5^2*(2*Z5*AA5)^2+CJ5^2*(Z5^2)^2)</f>
        <v>0</v>
      </c>
      <c r="CM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N5" s="116" t="n">
        <v>0</v>
      </c>
      <c r="CO5" s="41" t="n">
        <f aca="false">IFERROR(__xludf.dummyfunction("FILTER(FILTER('Data Scenarios 3-4'!$A$2:$BX$105,'Data Scenarios 3-4'!$A$1:$BX$1=""P_HEATER_1_B""),'Data Scenarios 3-4'!$B$2:$B$105=$A5,'Data Scenarios 3-4'!$C$2:$C$105=""All"",'Data Scenarios 3-4'!$D$2:$D$105=""Standard Deviation"")"),0)</f>
        <v>0</v>
      </c>
      <c r="CP5" s="117" t="n">
        <f aca="false">SQRT(CM5^2*(2*AD5*AE5)^2+CN5^2*(AD5^2)^2)</f>
        <v>0</v>
      </c>
      <c r="CQ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CR5" s="116" t="n">
        <v>0</v>
      </c>
      <c r="CS5" s="41" t="n">
        <f aca="false">IFERROR(__xludf.dummyfunction("FILTER(FILTER('Data Scenarios 3-4'!$A$2:$BX$105,'Data Scenarios 3-4'!$A$1:$BX$1=""P_HEATER_1_C""),'Data Scenarios 3-4'!$B$2:$B$105=$A5,'Data Scenarios 3-4'!$C$2:$C$105=""All"",'Data Scenarios 3-4'!$D$2:$D$105=""Standard Deviation"")"),0)</f>
        <v>0</v>
      </c>
      <c r="CT5" s="117" t="n">
        <f aca="false">SQRT(CQ5^2*(2*AH5*AI5)^2+CR5^2*(AH5^2)^2)</f>
        <v>0</v>
      </c>
      <c r="CU5" s="115" t="n">
        <f aca="false">IFERROR(__xludf.dummyfunction("FILTER(FILTER('Data Scenarios 3-4'!$A$2:$BX$105,'Data Scenarios 3-4'!$A$1:$BX$1=""V_an""),'Data Scenarios 3-4'!$B$2:$B$105=$A5,'Data Scenarios 3-4'!$C$2:$C$105=""All"",'Data Scenarios 3-4'!$D$2:$D$105=""Standard Deviation"")"),0.0515955929988017)</f>
        <v>0.0515955929988017</v>
      </c>
      <c r="CV5" s="116" t="n">
        <v>0</v>
      </c>
      <c r="CW5" s="41" t="n">
        <f aca="false">IFERROR(__xludf.dummyfunction("FILTER(FILTER('Data Scenarios 3-4'!$A$2:$BX$105,'Data Scenarios 3-4'!$A$1:$BX$1=""P_HEATER_2_A""),'Data Scenarios 3-4'!$B$2:$B$105=$A5,'Data Scenarios 3-4'!$C$2:$C$105=""All"",'Data Scenarios 3-4'!$D$2:$D$105=""Standard Deviation"")"),0)</f>
        <v>0</v>
      </c>
      <c r="CX5" s="117" t="n">
        <f aca="false">SQRT(CU5^2*(2*AL5*AM5)^2+CV5^2*(AL5^2)^2)</f>
        <v>0</v>
      </c>
      <c r="CY5" s="115" t="n">
        <f aca="false">IFERROR(__xludf.dummyfunction("FILTER(FILTER('Data Scenarios 3-4'!$A$2:$BX$105,'Data Scenarios 3-4'!$A$1:$BX$1=""V_bn""),'Data Scenarios 3-4'!$B$2:$B$105=$A5,'Data Scenarios 3-4'!$C$2:$C$105=""All"",'Data Scenarios 3-4'!$D$2:$D$105=""Standard Deviation"")"),0.0787656248358866)</f>
        <v>0.0787656248358866</v>
      </c>
      <c r="CZ5" s="116" t="n">
        <v>0</v>
      </c>
      <c r="DA5" s="41" t="n">
        <f aca="false">IFERROR(__xludf.dummyfunction("FILTER(FILTER('Data Scenarios 3-4'!$A$2:$BX$105,'Data Scenarios 3-4'!$A$1:$BX$1=""P_HEATER_2_B""),'Data Scenarios 3-4'!$B$2:$B$105=$A5,'Data Scenarios 3-4'!$C$2:$C$105=""All"",'Data Scenarios 3-4'!$D$2:$D$105=""Standard Deviation"")"),0)</f>
        <v>0</v>
      </c>
      <c r="DB5" s="117" t="n">
        <f aca="false">SQRT(CY5^2*(2*AP5*AQ5)^2+CZ5^2*(AP5^2)^2)</f>
        <v>0</v>
      </c>
      <c r="DC5" s="115" t="n">
        <f aca="false">IFERROR(__xludf.dummyfunction("FILTER(FILTER('Data Scenarios 3-4'!$A$2:$BX$105,'Data Scenarios 3-4'!$A$1:$BX$1=""V_cn""),'Data Scenarios 3-4'!$B$2:$B$105=$A5,'Data Scenarios 3-4'!$C$2:$C$105=""All"",'Data Scenarios 3-4'!$D$2:$D$105=""Standard Deviation"")"),0.0568216085840889)</f>
        <v>0.0568216085840889</v>
      </c>
      <c r="DD5" s="116" t="n">
        <v>0</v>
      </c>
      <c r="DE5" s="41" t="n">
        <f aca="false">IFERROR(__xludf.dummyfunction("FILTER(FILTER('Data Scenarios 3-4'!$A$2:$BX$105,'Data Scenarios 3-4'!$A$1:$BX$1=""P_HEATER_2_C""),'Data Scenarios 3-4'!$B$2:$B$105=$A5,'Data Scenarios 3-4'!$C$2:$C$105=""All"",'Data Scenarios 3-4'!$D$2:$D$105=""Standard Deviation"")"),0)</f>
        <v>0</v>
      </c>
      <c r="DF5" s="117" t="n">
        <f aca="false">SQRT(DC5^2*(2*AT5*AU5)^2+DD5^2*(AT5^2)^2)</f>
        <v>0</v>
      </c>
      <c r="DG5" s="57" t="n">
        <f aca="false">IFERROR(__xludf.dummyfunction("FILTER(FILTER('Data Scenarios 3-4'!$A$2:$BX$105,'Data Scenarios 3-4'!$A$1:$BX$1=""P_In""),'Data Scenarios 3-4'!$B$2:$B$105=$A5,'Data Scenarios 3-4'!$C$2:$C$105=""All"",'Data Scenarios 3-4'!$D$2:$D$105=""Standard Deviation"")"),1.09639702643321)</f>
        <v>1.09639702643321</v>
      </c>
      <c r="DH5" s="58" t="n">
        <f aca="false">IFERROR(__xludf.dummyfunction("FILTER(FILTER('Data Scenarios 3-4'!$A$2:$BX$105,'Data Scenarios 3-4'!$A$1:$BX$1=""P_Secondary""),'Data Scenarios 3-4'!$B$2:$B$105=$A5,'Data Scenarios 3-4'!$C$2:$C$105=""All"",'Data Scenarios 3-4'!$D$2:$D$105=""Standard Deviation"")"),1.06055495946119)</f>
        <v>1.06055495946119</v>
      </c>
      <c r="DI5" s="45" t="n">
        <f aca="false">IFERROR(__xludf.dummyfunction("FILTER(FILTER('Data Scenarios 3-4'!$A$2:$BX$105,'Data Scenarios 3-4'!$A$1:$BX$1=""P_Out""),'Data Scenarios 3-4'!$B$2:$B$105=$A5,'Data Scenarios 3-4'!$C$2:$C$105=""All"",'Data Scenarios 3-4'!$D$2:$D$105=""Standard Deviation"")"),1.67415861490593)</f>
        <v>1.67415861490593</v>
      </c>
      <c r="DJ5" s="62" t="n">
        <f aca="false">SQRT(BH5^2+BM5^2+BR5^2+BW5^2+CB5^2+CG5^2+CK5^2+CO5^2+CS5^2+CW5^2+DA5^2+DE5^2)</f>
        <v>0.941956046065791</v>
      </c>
      <c r="DK5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3-4'!$D$2:$D$105=""Standard Deviation"")"),0.0489493048436495)</f>
        <v>0.0489493048436495</v>
      </c>
      <c r="DL5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3-4'!$D$2:$D$105=""Standard Deviation"")"),0.613635444871921)</f>
        <v>0.613635444871921</v>
      </c>
      <c r="DM5" s="75" t="n">
        <f aca="false">SQRT(DH5^2+MAX(DI5:DJ5)^2)</f>
        <v>1.98181328330937</v>
      </c>
      <c r="DN5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3-4'!$D$2:$D$105=""Standard Deviation"")"),0.579771590249164)</f>
        <v>0.579771590249164</v>
      </c>
      <c r="DO5" s="75" t="n">
        <f aca="false">SQRT(DG5^2+MAX(DI5:DJ5)^2)</f>
        <v>2.00122300292479</v>
      </c>
      <c r="DP5" s="119" t="n">
        <v>400.432320100917</v>
      </c>
      <c r="DQ5" s="120" t="n">
        <v>346.78058198674</v>
      </c>
      <c r="DR5" s="120" t="n">
        <v>53.6517381141765</v>
      </c>
      <c r="DS5" s="120" t="n">
        <v>49.1895819867404</v>
      </c>
      <c r="DT5" s="120" t="n">
        <v>102.841320100917</v>
      </c>
      <c r="DU5" s="121" t="n">
        <f aca="false">DP5-AX5</f>
        <v>-14.871970732416</v>
      </c>
      <c r="DV5" s="65" t="n">
        <f aca="false">TINV(0.1,2)*DG5/SQRT(3)</f>
        <v>1.84836581787187</v>
      </c>
      <c r="DW5" s="66" t="n">
        <f aca="false">DU5/AX5</f>
        <v>-0.0358098171886799</v>
      </c>
      <c r="DX5" s="67" t="n">
        <f aca="false">DV5/AX5</f>
        <v>0.00445063019735002</v>
      </c>
      <c r="DY5" s="45" t="n">
        <f aca="false">DQ5-AY5</f>
        <v>-10.853696068815</v>
      </c>
      <c r="DZ5" s="65" t="n">
        <f aca="false">TINV(0.1,2)*DH5/SQRT(3)</f>
        <v>1.78794130938111</v>
      </c>
      <c r="EA5" s="66" t="n">
        <f aca="false">DY5/AY5</f>
        <v>-0.0303485899836732</v>
      </c>
      <c r="EB5" s="67" t="n">
        <f aca="false">DZ5/AY5</f>
        <v>0.00499935665871315</v>
      </c>
      <c r="EC5" s="45" t="n">
        <f aca="false">DR5-BB5</f>
        <v>-4.0182746636012</v>
      </c>
      <c r="ED5" s="65" t="n">
        <f aca="false">TINV(0.1,2)*DK5/SQRT(3)</f>
        <v>0.0825214039260286</v>
      </c>
      <c r="EE5" s="66" t="n">
        <f aca="false">EC5/BB5</f>
        <v>-0.0696770205181848</v>
      </c>
      <c r="EF5" s="67" t="n">
        <f aca="false">ED5/BB5</f>
        <v>0.00143092397506503</v>
      </c>
      <c r="EG5" s="45" t="n">
        <f aca="false">DS5-BC5</f>
        <v>-10.8528029949837</v>
      </c>
      <c r="EH5" s="65" t="n">
        <f aca="false">TINV(0.1,2)*DL5/SQRT(3)</f>
        <v>1.03450005207119</v>
      </c>
      <c r="EI5" s="66" t="n">
        <f aca="false">EG5/BC5</f>
        <v>-0.180752363489344</v>
      </c>
      <c r="EJ5" s="66" t="n">
        <f aca="false">EH5/BC5</f>
        <v>0.0172294963363976</v>
      </c>
      <c r="EK5" s="45" t="n">
        <f aca="false">DT5-BD5</f>
        <v>-14.871077658584</v>
      </c>
      <c r="EL5" s="65" t="n">
        <f aca="false">TINV(0.1,2)*DN5/SQRT(3)</f>
        <v>0.977410521693941</v>
      </c>
      <c r="EM5" s="66" t="n">
        <f aca="false">EK5/BD5</f>
        <v>-0.126333996602186</v>
      </c>
      <c r="EN5" s="66" t="n">
        <f aca="false">EL5/BD5</f>
        <v>0.00830337789644634</v>
      </c>
    </row>
    <row r="6" customFormat="false" ht="12.8" hidden="false" customHeight="false" outlineLevel="0" collapsed="false">
      <c r="A6" s="37" t="n">
        <v>3.3</v>
      </c>
      <c r="B6" s="38" t="n">
        <f aca="false">IFERROR(__xludf.dummyfunction("FILTER(FILTER('Data Scenarios 3-4'!$A$2:$BX$105,'Data Scenarios 3-4'!$A$1:$BX$1=""V_LAPTOP_3_OUTPUT""),'Data Scenarios 3-4'!$B$2:$B$105=$A6,'Data Scenarios 3-4'!$C$2:$C$105=""All"",'Data Scenarios 3-4'!$D$2:$D$105=""Mean"")"),18.198794125)</f>
        <v>18.198794125</v>
      </c>
      <c r="C6" s="65" t="n">
        <f aca="false">IFERROR(__xludf.dummyfunction("FILTER(FILTER('Data Scenarios 3-4'!$A$2:$BX$105,'Data Scenarios 3-4'!$A$1:$BX$1=""I_LAPTOP_3_OUTPUT""),'Data Scenarios 3-4'!$B$2:$B$105=$A6,'Data Scenarios 3-4'!$C$2:$C$105=""All"",'Data Scenarios 3-4'!$D$2:$D$105=""Mean"")"),3.88392555087715)</f>
        <v>3.88392555087715</v>
      </c>
      <c r="D6" s="65" t="n">
        <f aca="false">IFERROR(__xludf.dummyfunction("FILTER(FILTER('Data Scenarios 3-4'!$A$2:$BX$105,'Data Scenarios 3-4'!$A$1:$BX$1=""P_LAPTOP_3_OUTPUT""),'Data Scenarios 3-4'!$B$2:$B$105=$A6,'Data Scenarios 3-4'!$C$2:$C$105=""All"",'Data Scenarios 3-4'!$D$2:$D$105=""Mean"")"),70.6827298767007)</f>
        <v>70.6827298767007</v>
      </c>
      <c r="E6" s="68" t="n">
        <f aca="false">B6*C6</f>
        <v>70.6827614972405</v>
      </c>
      <c r="F6" s="38" t="n">
        <f aca="false">IFERROR(__xludf.dummyfunction("FILTER(FILTER('Data Scenarios 3-4'!$A$2:$BX$105,'Data Scenarios 3-4'!$A$1:$BX$1=""V_LAPTOP_4_OUTPUT""),'Data Scenarios 3-4'!$B$2:$B$105=$A6,'Data Scenarios 3-4'!$C$2:$C$105=""All"",'Data Scenarios 3-4'!$D$2:$D$105=""Mean"")"),18.2434888777777)</f>
        <v>18.2434888777777</v>
      </c>
      <c r="G6" s="3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3-4'!$D$2:$D$105=""Mean"")"),3.86841077430415)</f>
        <v>3.86841077430415</v>
      </c>
      <c r="H6" s="65" t="n">
        <f aca="false">IFERROR(__xludf.dummyfunction("FILTER(FILTER('Data Scenarios 3-4'!$A$2:$BX$105,'Data Scenarios 3-4'!$A$1:$BX$1=""P_LAPTOP_4_OUTPUT""),'Data Scenarios 3-4'!$B$2:$B$105=$A6,'Data Scenarios 3-4'!$C$2:$C$105=""All"",'Data Scenarios 3-4'!$D$2:$D$105=""Mean"")"),70.5733068692884)</f>
        <v>70.5733068692884</v>
      </c>
      <c r="I6" s="68" t="n">
        <f aca="false">F6*G6</f>
        <v>70.5733089356932</v>
      </c>
      <c r="J6" s="38" t="n">
        <f aca="false">IFERROR(__xludf.dummyfunction("FILTER(FILTER('Data Scenarios 3-4'!$A$2:$BX$105,'Data Scenarios 3-4'!$A$1:$BX$1=""V_LAPTOP_5_OUTPUT""),'Data Scenarios 3-4'!$B$2:$B$105=$A6,'Data Scenarios 3-4'!$C$2:$C$105=""All"",'Data Scenarios 3-4'!$D$2:$D$105=""Mean"")"),18.3022015833333)</f>
        <v>18.3022015833333</v>
      </c>
      <c r="K6" s="3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3-4'!$D$2:$D$105=""Mean"")"),3.67701150614242)</f>
        <v>3.67701150614242</v>
      </c>
      <c r="L6" s="65" t="n">
        <f aca="false">IFERROR(__xludf.dummyfunction("FILTER(FILTER('Data Scenarios 3-4'!$A$2:$BX$105,'Data Scenarios 3-4'!$A$1:$BX$1=""P_LAPTOP_5_OUTPUT""),'Data Scenarios 3-4'!$B$2:$B$105=$A6,'Data Scenarios 3-4'!$C$2:$C$105=""All"",'Data Scenarios 3-4'!$D$2:$D$105=""Mean"")"),67.2974019565215)</f>
        <v>67.2974019565215</v>
      </c>
      <c r="M6" s="68" t="n">
        <f aca="false">J6*K6</f>
        <v>67.2974058096546</v>
      </c>
      <c r="N6" s="38" t="n">
        <f aca="false">IFERROR(__xludf.dummyfunction("FILTER(FILTER('Data Scenarios 3-4'!$A$2:$BX$105,'Data Scenarios 3-4'!$A$1:$BX$1=""V_LED_1""),'Data Scenarios 3-4'!$B$2:$B$105=$A6,'Data Scenarios 3-4'!$C$2:$C$105=""All"",'Data Scenarios 3-4'!$D$2:$D$105=""Mean"")"),24.1047546694444)</f>
        <v>24.1047546694444</v>
      </c>
      <c r="O6" s="38" t="n">
        <f aca="false">IFERROR(__xludf.dummyfunction("FILTER(FILTER('Data Scenarios 3-4'!$A$2:$BX$105,'Data Scenarios 3-4'!$A$1:$BX$1=""I_LED_1""),'Data Scenarios 3-4'!$B$2:$B$105=$A6,'Data Scenarios 3-4'!$C$2:$C$105=""All"",'Data Scenarios 3-4'!$D$2:$D$105=""Mean"")"),1.19936522855505)</f>
        <v>1.19936522855505</v>
      </c>
      <c r="P6" s="65" t="n">
        <f aca="false">IFERROR(__xludf.dummyfunction("FILTER(FILTER('Data Scenarios 3-4'!$A$2:$BX$105,'Data Scenarios 3-4'!$A$1:$BX$1=""P_LED_1""),'Data Scenarios 3-4'!$B$2:$B$105=$A6,'Data Scenarios 3-4'!$C$2:$C$105=""All"",'Data Scenarios 3-4'!$D$2:$D$105=""Mean"")"),28.9103699168628)</f>
        <v>28.9103699168628</v>
      </c>
      <c r="Q6" s="69" t="n">
        <f aca="false">N6*O6</f>
        <v>28.9104045933816</v>
      </c>
      <c r="R6" s="38" t="n">
        <f aca="false">IFERROR(__xludf.dummyfunction("FILTER(FILTER('Data Scenarios 3-4'!$A$2:$BX$105,'Data Scenarios 3-4'!$A$1:$BX$1=""V_LED_2""),'Data Scenarios 3-4'!$B$2:$B$105=$A6,'Data Scenarios 3-4'!$C$2:$C$105=""All"",'Data Scenarios 3-4'!$D$2:$D$105=""Mean"")"),24.0072354194444)</f>
        <v>24.0072354194444</v>
      </c>
      <c r="S6" s="38" t="n">
        <f aca="false">IFERROR(__xludf.dummyfunction("FILTER(FILTER('Data Scenarios 3-4'!$A$2:$BX$105,'Data Scenarios 3-4'!$A$1:$BX$1=""I_LED_2""),'Data Scenarios 3-4'!$B$2:$B$105=$A6,'Data Scenarios 3-4'!$C$2:$C$105=""All"",'Data Scenarios 3-4'!$D$2:$D$105=""Mean"")"),1.20462599794373)</f>
        <v>1.20462599794373</v>
      </c>
      <c r="T6" s="65" t="n">
        <f aca="false">IFERROR(__xludf.dummyfunction("FILTER(FILTER('Data Scenarios 3-4'!$A$2:$BX$105,'Data Scenarios 3-4'!$A$1:$BX$1=""P_LED_2""),'Data Scenarios 3-4'!$B$2:$B$105=$A6,'Data Scenarios 3-4'!$C$2:$C$105=""All"",'Data Scenarios 3-4'!$D$2:$D$105=""Mean"")"),28.9197092425491)</f>
        <v>28.9197092425491</v>
      </c>
      <c r="U6" s="69" t="n">
        <f aca="false">R6*S6</f>
        <v>28.9197399250183</v>
      </c>
      <c r="V6" s="38" t="n">
        <f aca="false">IFERROR(__xludf.dummyfunction("FILTER(FILTER('Data Scenarios 3-4'!$A$2:$BX$105,'Data Scenarios 3-4'!$A$1:$BX$1=""V_LED_3""),'Data Scenarios 3-4'!$B$2:$B$105=$A6,'Data Scenarios 3-4'!$C$2:$C$105=""All"",'Data Scenarios 3-4'!$D$2:$D$105=""Mean"")"),24.0311120083333)</f>
        <v>24.0311120083333</v>
      </c>
      <c r="W6" s="38" t="n">
        <f aca="false">IFERROR(__xludf.dummyfunction("FILTER(FILTER('Data Scenarios 3-4'!$A$2:$BX$105,'Data Scenarios 3-4'!$A$1:$BX$1=""I_LED_3""),'Data Scenarios 3-4'!$B$2:$B$105=$A6,'Data Scenarios 3-4'!$C$2:$C$105=""All"",'Data Scenarios 3-4'!$D$2:$D$105=""Mean"")"),1.16883524033645)</f>
        <v>1.16883524033645</v>
      </c>
      <c r="X6" s="65" t="n">
        <f aca="false">IFERROR(__xludf.dummyfunction("FILTER(FILTER('Data Scenarios 3-4'!$A$2:$BX$105,'Data Scenarios 3-4'!$A$1:$BX$1=""P_LED_3""),'Data Scenarios 3-4'!$B$2:$B$105=$A6,'Data Scenarios 3-4'!$C$2:$C$105=""All"",'Data Scenarios 3-4'!$D$2:$D$105=""Mean"")"),28.0883110020108)</f>
        <v>28.0883110020108</v>
      </c>
      <c r="Y6" s="69" t="n">
        <f aca="false">V6*W6</f>
        <v>28.0884105798124</v>
      </c>
      <c r="Z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A6" s="122" t="n">
        <v>0.012693</v>
      </c>
      <c r="AB6" s="41" t="n">
        <f aca="false">IFERROR(__xludf.dummyfunction("FILTER(FILTER('Data Scenarios 3-4'!$A$2:$BX$105,'Data Scenarios 3-4'!$A$1:$BX$1=""P_HEATER_1_A""),'Data Scenarios 3-4'!$B$2:$B$105=$A6,'Data Scenarios 3-4'!$C$2:$C$105=""All"",'Data Scenarios 3-4'!$D$2:$D$105=""Mean"")"),193.10465162037)</f>
        <v>193.10465162037</v>
      </c>
      <c r="AC6" s="123" t="n">
        <f aca="false">Z6^2*AA6</f>
        <v>188.885158830194</v>
      </c>
      <c r="AD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E6" s="122" t="n">
        <v>0.011647</v>
      </c>
      <c r="AF6" s="41" t="n">
        <f aca="false">IFERROR(__xludf.dummyfunction("FILTER(FILTER('Data Scenarios 3-4'!$A$2:$BX$105,'Data Scenarios 3-4'!$A$1:$BX$1=""P_HEATER_1_B""),'Data Scenarios 3-4'!$B$2:$B$105=$A6,'Data Scenarios 3-4'!$C$2:$C$105=""All"",'Data Scenarios 3-4'!$D$2:$D$105=""Mean"")"),179.95771875)</f>
        <v>179.95771875</v>
      </c>
      <c r="AG6" s="123" t="n">
        <f aca="false">AD6^2*AE6</f>
        <v>172.712456426047</v>
      </c>
      <c r="AH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I6" s="122" t="n">
        <v>0.012295</v>
      </c>
      <c r="AJ6" s="41" t="n">
        <f aca="false">IFERROR(__xludf.dummyfunction("FILTER(FILTER('Data Scenarios 3-4'!$A$2:$BX$105,'Data Scenarios 3-4'!$A$1:$BX$1=""P_HEATER_1_C""),'Data Scenarios 3-4'!$B$2:$B$105=$A6,'Data Scenarios 3-4'!$C$2:$C$105=""All"",'Data Scenarios 3-4'!$D$2:$D$105=""Mean"")"),185.572726851851)</f>
        <v>185.572726851851</v>
      </c>
      <c r="AK6" s="123" t="n">
        <f aca="false">AH6^2*AI6</f>
        <v>183.08383598068</v>
      </c>
      <c r="AL6" s="111" t="n">
        <f aca="false">IFERROR(__xludf.dummyfunction("FILTER(FILTER('Data Scenarios 3-4'!$A$2:$BX$105,'Data Scenarios 3-4'!$A$1:$BX$1=""V_an""),'Data Scenarios 3-4'!$B$2:$B$105=$A6,'Data Scenarios 3-4'!$C$2:$C$105=""All"",'Data Scenarios 3-4'!$D$2:$D$105=""Mean"")"),121.987906388888)</f>
        <v>121.987906388888</v>
      </c>
      <c r="AM6" s="112" t="n">
        <v>0</v>
      </c>
      <c r="AN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3-4'!$D$2:$D$105=""Mean"")"),0)</f>
        <v>0</v>
      </c>
      <c r="AO6" s="113" t="n">
        <f aca="false">AL6^2*AM6</f>
        <v>0</v>
      </c>
      <c r="AP6" s="111" t="n">
        <f aca="false">IFERROR(__xludf.dummyfunction("FILTER(FILTER('Data Scenarios 3-4'!$A$2:$BX$105,'Data Scenarios 3-4'!$A$1:$BX$1=""V_bn""),'Data Scenarios 3-4'!$B$2:$B$105=$A6,'Data Scenarios 3-4'!$C$2:$C$105=""All"",'Data Scenarios 3-4'!$D$2:$D$105=""Mean"")"),121.774061944444)</f>
        <v>121.774061944444</v>
      </c>
      <c r="AQ6" s="112" t="n">
        <v>0</v>
      </c>
      <c r="AR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3-4'!$D$2:$D$105=""Mean"")"),0)</f>
        <v>0</v>
      </c>
      <c r="AS6" s="113" t="n">
        <f aca="false">AP6^2*AQ6</f>
        <v>0</v>
      </c>
      <c r="AT6" s="111" t="n">
        <f aca="false">IFERROR(__xludf.dummyfunction("FILTER(FILTER('Data Scenarios 3-4'!$A$2:$BX$105,'Data Scenarios 3-4'!$A$1:$BX$1=""V_cn""),'Data Scenarios 3-4'!$B$2:$B$105=$A6,'Data Scenarios 3-4'!$C$2:$C$105=""All"",'Data Scenarios 3-4'!$D$2:$D$105=""Mean"")"),122.028348888888)</f>
        <v>122.028348888888</v>
      </c>
      <c r="AU6" s="112" t="n">
        <v>0</v>
      </c>
      <c r="AV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3-4'!$D$2:$D$105=""Mean"")"),0)</f>
        <v>0</v>
      </c>
      <c r="AW6" s="113" t="n">
        <f aca="false">AT6^2*AU6</f>
        <v>0</v>
      </c>
      <c r="AX6" s="44" t="n">
        <f aca="false">IFERROR(__xludf.dummyfunction("FILTER(FILTER('Data Scenarios 3-4'!$A$2:$BX$105,'Data Scenarios 3-4'!$A$1:$BX$1=""P_In""),'Data Scenarios 3-4'!$B$2:$B$105=$A6,'Data Scenarios 3-4'!$C$2:$C$105=""All"",'Data Scenarios 3-4'!$D$2:$D$105=""Mean"")"),985.304869722222)</f>
        <v>985.304869722222</v>
      </c>
      <c r="AY6" s="74" t="n">
        <f aca="false">IFERROR(__xludf.dummyfunction("FILTER(FILTER('Data Scenarios 3-4'!$A$2:$BX$105,'Data Scenarios 3-4'!$A$1:$BX$1=""P_Secondary""),'Data Scenarios 3-4'!$B$2:$B$105=$A6,'Data Scenarios 3-4'!$C$2:$C$105=""All"",'Data Scenarios 3-4'!$D$2:$D$105=""Mean"")"),919.327424722222)</f>
        <v>919.327424722222</v>
      </c>
      <c r="AZ6" s="59" t="n">
        <f aca="false">IFERROR(__xludf.dummyfunction("FILTER(FILTER('Data Scenarios 3-4'!$A$2:$BX$105,'Data Scenarios 3-4'!$A$1:$BX$1=""P_Out""),'Data Scenarios 3-4'!$B$2:$B$105=$A6,'Data Scenarios 3-4'!$C$2:$C$105=""All"",'Data Scenarios 3-4'!$D$2:$D$105=""Mean"")"),853.106926086155)</f>
        <v>853.106926086155</v>
      </c>
      <c r="BA6" s="114" t="n">
        <f aca="false">E6+I6+M6+Q6+U6+Y6+AC6+AG6+AK6+AO6+AS6+AW6</f>
        <v>839.153482577721</v>
      </c>
      <c r="BB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BC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BD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BE6" s="54" t="n">
        <f aca="false">IFERROR(__xludf.dummyfunction("FILTER(FILTER('Data Scenarios 3-4'!$A$2:$BX$105,'Data Scenarios 3-4'!$A$1:$BX$1=""V_LAPTOP_3_OUTPUT""),'Data Scenarios 3-4'!$B$2:$B$105=$A6,'Data Scenarios 3-4'!$C$2:$C$105=""All"",'Data Scenarios 3-4'!$D$2:$D$105=""Standard Deviation"")"),0.0121803976183768)</f>
        <v>0.0121803976183768</v>
      </c>
      <c r="BF6" s="48" t="n">
        <f aca="false">IFERROR(__xludf.dummyfunction("FILTER(FILTER('Data Scenarios 3-4'!$A$2:$BX$105,'Data Scenarios 3-4'!$A$1:$BX$1=""I_LAPTOP_3_OUTPUT""),'Data Scenarios 3-4'!$B$2:$B$105=$A6,'Data Scenarios 3-4'!$C$2:$C$105=""All"",'Data Scenarios 3-4'!$D$2:$D$105=""Standard Deviation"")"),0.00645150174166781)</f>
        <v>0.00645150174166781</v>
      </c>
      <c r="BG6" s="48" t="n">
        <f aca="false">IFERROR(__xludf.dummyfunction("FILTER(FILTER('Data Scenarios 3-4'!$A$2:$BX$105,'Data Scenarios 3-4'!$A$1:$BX$1=""V_LAPTOP_3_OUTPUT * I_LAPTOP_3_OUTPUT""),'Data Scenarios 3-4'!$B$2:$B$105=$A6,'Data Scenarios 3-4'!$C$2:$C$105=""All"",'Data Scenarios 3-4'!$D$2:$D$105=""Covariance"")"),-0.0000471489192393628)</f>
        <v>-4.71489192393628E-005</v>
      </c>
      <c r="BH6" s="50" t="n">
        <f aca="false">IFERROR(__xludf.dummyfunction("FILTER(FILTER('Data Scenarios 3-4'!$A$2:$BX$105,'Data Scenarios 3-4'!$A$1:$BX$1=""P_LAPTOP_3_OUTPUT""),'Data Scenarios 3-4'!$B$2:$B$105=$A6,'Data Scenarios 3-4'!$C$2:$C$105=""All"",'Data Scenarios 3-4'!$D$2:$D$105=""Standard Deviation"")"),0.0966903003161507)</f>
        <v>0.0966903003161507</v>
      </c>
      <c r="BI6" s="51" t="n">
        <f aca="false">SQRT(BE6^2*(C6)^2+BF6^2*(B6)^2+2*BG6*(C6)*(B6))</f>
        <v>0.0967356976248478</v>
      </c>
      <c r="BJ6" s="47" t="n">
        <f aca="false">IFERROR(__xludf.dummyfunction("FILTER(FILTER('Data Scenarios 3-4'!$A$2:$BX$105,'Data Scenarios 3-4'!$A$1:$BX$1=""V_LAPTOP_4_OUTPUT""),'Data Scenarios 3-4'!$B$2:$B$105=$A6,'Data Scenarios 3-4'!$C$2:$C$105=""All"",'Data Scenarios 3-4'!$D$2:$D$105=""Standard Deviation"")"),0.00297727867358143)</f>
        <v>0.00297727867358143</v>
      </c>
      <c r="BK6" s="48" t="n">
        <f aca="false">IFERROR(__xludf.dummyfunction("FILTER(FILTER('Data Scenarios 3-4'!$A$2:$BX$105,'Data Scenarios 3-4'!$A$1:$BX$1=""I_LAPTOP_4_OUTPUT""),'Data Scenarios 3-4'!$B$2:$B$105=$A6,'Data Scenarios 3-4'!$C$2:$C$105=""All"",'Data Scenarios 3-4'!$D$2:$D$105=""Standard Deviation"")"),0.000350262556488365)</f>
        <v>0.000350262556488365</v>
      </c>
      <c r="BL6" s="48" t="n">
        <f aca="false">IFERROR(__xludf.dummyfunction("FILTER(FILTER('Data Scenarios 3-4'!$A$2:$BX$105,'Data Scenarios 3-4'!$A$1:$BX$1=""V_LAPTOP_4_OUTPUT * I_LAPTOP_4_OUTPUT""),'Data Scenarios 3-4'!$B$2:$B$105=$A6,'Data Scenarios 3-4'!$C$2:$C$105=""All"",'Data Scenarios 3-4'!$D$2:$D$105=""Covariance"")"),0.000000832710747000084)</f>
        <v>8.32710747000084E-007</v>
      </c>
      <c r="BM6" s="50" t="n">
        <f aca="false">IFERROR(__xludf.dummyfunction("FILTER(FILTER('Data Scenarios 3-4'!$A$2:$BX$105,'Data Scenarios 3-4'!$A$1:$BX$1=""P_LAPTOP_4_OUTPUT""),'Data Scenarios 3-4'!$B$2:$B$105=$A6,'Data Scenarios 3-4'!$C$2:$C$105=""All"",'Data Scenarios 3-4'!$D$2:$D$105=""Standard Deviation"")"),0.0170631413292164)</f>
        <v>0.0170631413292164</v>
      </c>
      <c r="BN6" s="51" t="n">
        <f aca="false">SQRT(BJ6^2*(G6)^2+BK6^2*(F6)^2+2*BL6*(G6)*(F6))</f>
        <v>0.0170591792333076</v>
      </c>
      <c r="BO6" s="47" t="n">
        <f aca="false">IFERROR(__xludf.dummyfunction("FILTER(FILTER('Data Scenarios 3-4'!$A$2:$BX$105,'Data Scenarios 3-4'!$A$1:$BX$1=""V_LAPTOP_5_OUTPUT""),'Data Scenarios 3-4'!$B$2:$B$105=$A6,'Data Scenarios 3-4'!$C$2:$C$105=""All"",'Data Scenarios 3-4'!$D$2:$D$105=""Standard Deviation"")"),0.0013961430857311)</f>
        <v>0.0013961430857311</v>
      </c>
      <c r="BP6" s="48" t="n">
        <f aca="false">IFERROR(__xludf.dummyfunction("FILTER(FILTER('Data Scenarios 3-4'!$A$2:$BX$105,'Data Scenarios 3-4'!$A$1:$BX$1=""I_LAPTOP_5_OUTPUT""),'Data Scenarios 3-4'!$B$2:$B$105=$A6,'Data Scenarios 3-4'!$C$2:$C$105=""All"",'Data Scenarios 3-4'!$D$2:$D$105=""Standard Deviation"")"),0.0107756160772172)</f>
        <v>0.0107756160772172</v>
      </c>
      <c r="BQ6" s="52" t="n">
        <f aca="false">IFERROR(__xludf.dummyfunction("FILTER(FILTER('Data Scenarios 3-4'!$A$2:$BX$105,'Data Scenarios 3-4'!$A$1:$BX$1=""V_LAPTOP_5_OUTPUT * I_LAPTOP_5_OUTPUT""),'Data Scenarios 3-4'!$B$2:$B$105=$A6,'Data Scenarios 3-4'!$C$2:$C$105=""All"",'Data Scenarios 3-4'!$D$2:$D$105=""Covariance"")"),0.0000150392938223456)</f>
        <v>1.50392938223456E-005</v>
      </c>
      <c r="BR6" s="38" t="n">
        <f aca="false">IFERROR(__xludf.dummyfunction("FILTER(FILTER('Data Scenarios 3-4'!$A$2:$BX$105,'Data Scenarios 3-4'!$A$1:$BX$1=""P_LAPTOP_5_OUTPUT""),'Data Scenarios 3-4'!$B$2:$B$105=$A6,'Data Scenarios 3-4'!$C$2:$C$105=""All"",'Data Scenarios 3-4'!$D$2:$D$105=""Standard Deviation"")"),0.202343373463813)</f>
        <v>0.202343373463813</v>
      </c>
      <c r="BS6" s="51" t="n">
        <f aca="false">SQRT(BO6^2*(K6)^2+BP6^2*(J6)^2+2*BQ6*(K6)*(J6))</f>
        <v>0.202349466246595</v>
      </c>
      <c r="BT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BU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BV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BW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BX6" s="73" t="n">
        <f aca="false">SQRT(BT6^2*(O6)^2+BU6^2*(N6)^2+2*BV6*(O6)*(N6))</f>
        <v>0.179539731492619</v>
      </c>
      <c r="BY6" s="47" t="n">
        <f aca="false">IFERROR(__xludf.dummyfunction("FILTER(FILTER('Data Scenarios 3-4'!$A$2:$BX$105,'Data Scenarios 3-4'!$A$1:$BX$1=""V_LED_2""),'Data Scenarios 3-4'!$B$2:$B$105=$A6,'Data Scenarios 3-4'!$C$2:$C$105=""All"",'Data Scenarios 3-4'!$D$2:$D$105=""Standard Deviation"")"),0.00636451247476293)</f>
        <v>0.00636451247476293</v>
      </c>
      <c r="BZ6" s="50" t="n">
        <f aca="false">IFERROR(__xludf.dummyfunction("FILTER(FILTER('Data Scenarios 3-4'!$A$2:$BX$105,'Data Scenarios 3-4'!$A$1:$BX$1=""I_LED_2""),'Data Scenarios 3-4'!$B$2:$B$105=$A6,'Data Scenarios 3-4'!$C$2:$C$105=""All"",'Data Scenarios 3-4'!$D$2:$D$105=""Standard Deviation"")"),0.0072122802436207)</f>
        <v>0.0072122802436207</v>
      </c>
      <c r="CA6" s="70" t="n">
        <f aca="false">IFERROR(__xludf.dummyfunction("FILTER(FILTER('Data Scenarios 3-4'!$A$2:$BX$105,'Data Scenarios 3-4'!$A$1:$BX$1=""V_LED_2 * I_LED_2""),'Data Scenarios 3-4'!$B$2:$B$105=$A6,'Data Scenarios 3-4'!$C$2:$C$105=""All"",'Data Scenarios 3-4'!$D$2:$D$105=""Covariance"")"),-0.0000459025235954279)</f>
        <v>-4.59025235954279E-005</v>
      </c>
      <c r="CB6" s="38" t="n">
        <f aca="false">IFERROR(__xludf.dummyfunction("FILTER(FILTER('Data Scenarios 3-4'!$A$2:$BX$105,'Data Scenarios 3-4'!$A$1:$BX$1=""P_LED_2""),'Data Scenarios 3-4'!$B$2:$B$105=$A6,'Data Scenarios 3-4'!$C$2:$C$105=""All"",'Data Scenarios 3-4'!$D$2:$D$105=""Standard Deviation"")"),0.165504214870433)</f>
        <v>0.165504214870433</v>
      </c>
      <c r="CC6" s="71" t="n">
        <f aca="false">SQRT(BY6^2*(S6)^2+BZ6^2*(R6)^2+2*CA6*(S6)*(R6))</f>
        <v>0.165480074196501</v>
      </c>
      <c r="CD6" s="47" t="n">
        <f aca="false">IFERROR(__xludf.dummyfunction("FILTER(FILTER('Data Scenarios 3-4'!$A$2:$BX$105,'Data Scenarios 3-4'!$A$1:$BX$1=""V_LED_1""),'Data Scenarios 3-4'!$B$2:$B$105=$A6,'Data Scenarios 3-4'!$C$2:$C$105=""All"",'Data Scenarios 3-4'!$D$2:$D$105=""Standard Deviation"")"),0.00661425520803585)</f>
        <v>0.00661425520803585</v>
      </c>
      <c r="CE6" s="50" t="n">
        <f aca="false">IFERROR(__xludf.dummyfunction("FILTER(FILTER('Data Scenarios 3-4'!$A$2:$BX$105,'Data Scenarios 3-4'!$A$1:$BX$1=""I_LED_1""),'Data Scenarios 3-4'!$B$2:$B$105=$A6,'Data Scenarios 3-4'!$C$2:$C$105=""All"",'Data Scenarios 3-4'!$D$2:$D$105=""Standard Deviation"")"),0.007777403956401)</f>
        <v>0.007777403956401</v>
      </c>
      <c r="CF6" s="70" t="n">
        <f aca="false">IFERROR(__xludf.dummyfunction("FILTER(FILTER('Data Scenarios 3-4'!$A$2:$BX$105,'Data Scenarios 3-4'!$A$1:$BX$1=""V_LED_1 * I_LED_1""),'Data Scenarios 3-4'!$B$2:$B$105=$A6,'Data Scenarios 3-4'!$C$2:$C$105=""All"",'Data Scenarios 3-4'!$D$2:$D$105=""Covariance"")"),-0.0000514403381483995)</f>
        <v>-5.14403381483995E-005</v>
      </c>
      <c r="CG6" s="65" t="n">
        <f aca="false">IFERROR(__xludf.dummyfunction("FILTER(FILTER('Data Scenarios 3-4'!$A$2:$BX$105,'Data Scenarios 3-4'!$A$1:$BX$1=""P_LED_1""),'Data Scenarios 3-4'!$B$2:$B$105=$A6,'Data Scenarios 3-4'!$C$2:$C$105=""All"",'Data Scenarios 3-4'!$D$2:$D$105=""Standard Deviation"")"),0.179566306523903)</f>
        <v>0.179566306523903</v>
      </c>
      <c r="CH6" s="73" t="n">
        <f aca="false">SQRT(CD6^2*(W6)^2+CE6^2*(V6)^2+2*CF6*(W6)*(V6))</f>
        <v>0.179168909960934</v>
      </c>
      <c r="CI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J6" s="125" t="n">
        <v>2.3E-005</v>
      </c>
      <c r="CK6" s="65" t="n">
        <f aca="false">IFERROR(__xludf.dummyfunction("FILTER(FILTER('Data Scenarios 3-4'!$A$2:$BX$105,'Data Scenarios 3-4'!$A$1:$BX$1=""P_HEATER_1_A""),'Data Scenarios 3-4'!$B$2:$B$105=$A6,'Data Scenarios 3-4'!$C$2:$C$105=""All"",'Data Scenarios 3-4'!$D$2:$D$105=""Standard Deviation"")"),0.205419036090565)</f>
        <v>0.205419036090565</v>
      </c>
      <c r="CL6" s="117" t="n">
        <f aca="false">SQRT(CI6^2*(2*Z6*AA6)^2+CJ6^2*(Z6^2)^2)</f>
        <v>0.465074330620351</v>
      </c>
      <c r="CM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N6" s="125" t="n">
        <v>1.2E-005</v>
      </c>
      <c r="CO6" s="65" t="n">
        <f aca="false">IFERROR(__xludf.dummyfunction("FILTER(FILTER('Data Scenarios 3-4'!$A$2:$BX$105,'Data Scenarios 3-4'!$A$1:$BX$1=""P_HEATER_1_B""),'Data Scenarios 3-4'!$B$2:$B$105=$A6,'Data Scenarios 3-4'!$C$2:$C$105=""All"",'Data Scenarios 3-4'!$D$2:$D$105=""Standard Deviation"")"),0.19348345913367)</f>
        <v>0.19348345913367</v>
      </c>
      <c r="CP6" s="117" t="n">
        <f aca="false">SQRT(CM6^2*(2*AD6*AE6)^2+CN6^2*(AD6^2)^2)</f>
        <v>0.416010620025556</v>
      </c>
      <c r="CQ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CR6" s="125" t="n">
        <v>2.2E-005</v>
      </c>
      <c r="CS6" s="65" t="n">
        <f aca="false">IFERROR(__xludf.dummyfunction("FILTER(FILTER('Data Scenarios 3-4'!$A$2:$BX$105,'Data Scenarios 3-4'!$A$1:$BX$1=""P_HEATER_1_C""),'Data Scenarios 3-4'!$B$2:$B$105=$A6,'Data Scenarios 3-4'!$C$2:$C$105=""All"",'Data Scenarios 3-4'!$D$2:$D$105=""Standard Deviation"")"),0.128637298053058)</f>
        <v>0.128637298053058</v>
      </c>
      <c r="CT6" s="117" t="n">
        <f aca="false">SQRT(CQ6^2*(2*AH6*AI6)^2+CR6^2*(AH6^2)^2)</f>
        <v>0.465801335785468</v>
      </c>
      <c r="CU6" s="124" t="n">
        <f aca="false">IFERROR(__xludf.dummyfunction("FILTER(FILTER('Data Scenarios 3-4'!$A$2:$BX$105,'Data Scenarios 3-4'!$A$1:$BX$1=""V_an""),'Data Scenarios 3-4'!$B$2:$B$105=$A6,'Data Scenarios 3-4'!$C$2:$C$105=""All"",'Data Scenarios 3-4'!$D$2:$D$105=""Standard Deviation"")"),0.101679635799616)</f>
        <v>0.101679635799616</v>
      </c>
      <c r="CV6" s="116" t="n">
        <v>0</v>
      </c>
      <c r="CW6" s="41" t="n">
        <f aca="false">IFERROR(__xludf.dummyfunction("FILTER(FILTER('Data Scenarios 3-4'!$A$2:$BX$105,'Data Scenarios 3-4'!$A$1:$BX$1=""P_HEATER_2_A""),'Data Scenarios 3-4'!$B$2:$B$105=$A6,'Data Scenarios 3-4'!$C$2:$C$105=""All"",'Data Scenarios 3-4'!$D$2:$D$105=""Standard Deviation"")"),0)</f>
        <v>0</v>
      </c>
      <c r="CX6" s="117" t="n">
        <f aca="false">SQRT(CU6^2*(2*AL6*AM6)^2+CV6^2*(AL6^2)^2)</f>
        <v>0</v>
      </c>
      <c r="CY6" s="124" t="n">
        <f aca="false">IFERROR(__xludf.dummyfunction("FILTER(FILTER('Data Scenarios 3-4'!$A$2:$BX$105,'Data Scenarios 3-4'!$A$1:$BX$1=""V_bn""),'Data Scenarios 3-4'!$B$2:$B$105=$A6,'Data Scenarios 3-4'!$C$2:$C$105=""All"",'Data Scenarios 3-4'!$D$2:$D$105=""Standard Deviation"")"),0.132563922406675)</f>
        <v>0.132563922406675</v>
      </c>
      <c r="CZ6" s="116" t="n">
        <v>0</v>
      </c>
      <c r="DA6" s="41" t="n">
        <f aca="false">IFERROR(__xludf.dummyfunction("FILTER(FILTER('Data Scenarios 3-4'!$A$2:$BX$105,'Data Scenarios 3-4'!$A$1:$BX$1=""P_HEATER_2_B""),'Data Scenarios 3-4'!$B$2:$B$105=$A6,'Data Scenarios 3-4'!$C$2:$C$105=""All"",'Data Scenarios 3-4'!$D$2:$D$105=""Standard Deviation"")"),0)</f>
        <v>0</v>
      </c>
      <c r="DB6" s="117" t="n">
        <f aca="false">SQRT(CY6^2*(2*AP6*AQ6)^2+CZ6^2*(AP6^2)^2)</f>
        <v>0</v>
      </c>
      <c r="DC6" s="124" t="n">
        <f aca="false">IFERROR(__xludf.dummyfunction("FILTER(FILTER('Data Scenarios 3-4'!$A$2:$BX$105,'Data Scenarios 3-4'!$A$1:$BX$1=""V_cn""),'Data Scenarios 3-4'!$B$2:$B$105=$A6,'Data Scenarios 3-4'!$C$2:$C$105=""All"",'Data Scenarios 3-4'!$D$2:$D$105=""Standard Deviation"")"),0.110352726506657)</f>
        <v>0.110352726506657</v>
      </c>
      <c r="DD6" s="116" t="n">
        <v>0</v>
      </c>
      <c r="DE6" s="41" t="n">
        <f aca="false">IFERROR(__xludf.dummyfunction("FILTER(FILTER('Data Scenarios 3-4'!$A$2:$BX$105,'Data Scenarios 3-4'!$A$1:$BX$1=""P_HEATER_2_C""),'Data Scenarios 3-4'!$B$2:$B$105=$A6,'Data Scenarios 3-4'!$C$2:$C$105=""All"",'Data Scenarios 3-4'!$D$2:$D$105=""Standard Deviation"")"),0)</f>
        <v>0</v>
      </c>
      <c r="DF6" s="117" t="n">
        <f aca="false">SQRT(DC6^2*(2*AT6*AU6)^2+DD6^2*(AT6^2)^2)</f>
        <v>0</v>
      </c>
      <c r="DG6" s="57" t="n">
        <f aca="false">IFERROR(__xludf.dummyfunction("FILTER(FILTER('Data Scenarios 3-4'!$A$2:$BX$105,'Data Scenarios 3-4'!$A$1:$BX$1=""P_In""),'Data Scenarios 3-4'!$B$2:$B$105=$A6,'Data Scenarios 3-4'!$C$2:$C$105=""All"",'Data Scenarios 3-4'!$D$2:$D$105=""Standard Deviation"")"),0.17861488741758)</f>
        <v>0.17861488741758</v>
      </c>
      <c r="DH6" s="58" t="n">
        <f aca="false">IFERROR(__xludf.dummyfunction("FILTER(FILTER('Data Scenarios 3-4'!$A$2:$BX$105,'Data Scenarios 3-4'!$A$1:$BX$1=""P_Secondary""),'Data Scenarios 3-4'!$B$2:$B$105=$A6,'Data Scenarios 3-4'!$C$2:$C$105=""All"",'Data Scenarios 3-4'!$D$2:$D$105=""Standard Deviation"")"),0.150274810572465)</f>
        <v>0.150274810572465</v>
      </c>
      <c r="DI6" s="74" t="n">
        <f aca="false">IFERROR(__xludf.dummyfunction("FILTER(FILTER('Data Scenarios 3-4'!$A$2:$BX$105,'Data Scenarios 3-4'!$A$1:$BX$1=""P_Out""),'Data Scenarios 3-4'!$B$2:$B$105=$A6,'Data Scenarios 3-4'!$C$2:$C$105=""All"",'Data Scenarios 3-4'!$D$2:$D$105=""Standard Deviation"")"),0.354174366497696)</f>
        <v>0.354174366497696</v>
      </c>
      <c r="DJ6" s="62" t="n">
        <f aca="false">SQRT(BH6^2+BM6^2+BR6^2+BW6^2+CB6^2+CG6^2+CK6^2+CO6^2+CS6^2+CW6^2+DA6^2+DE6^2)</f>
        <v>0.488511158077494</v>
      </c>
      <c r="DK6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3-4'!$D$2:$D$105=""Standard Deviation"")"),0.08207592953496)</f>
        <v>0.08207592953496</v>
      </c>
      <c r="DL6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3-4'!$D$2:$D$105=""Standard Deviation"")"),0.216545120949956)</f>
        <v>0.216545120949956</v>
      </c>
      <c r="DM6" s="62" t="n">
        <f aca="false">SQRT(DH6^2+MAX(DI6:DJ6)^2)</f>
        <v>0.511102406821573</v>
      </c>
      <c r="DN6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3-4'!$D$2:$D$105=""Standard Deviation"")"),0.261668763535969)</f>
        <v>0.261668763535969</v>
      </c>
      <c r="DO6" s="62" t="n">
        <f aca="false">SQRT(DG6^2+MAX(DI6:DJ6)^2)</f>
        <v>0.520140778610377</v>
      </c>
      <c r="DP6" s="119" t="n">
        <v>966.179711715046</v>
      </c>
      <c r="DQ6" s="120" t="n">
        <v>901.878206032205</v>
      </c>
      <c r="DR6" s="120" t="n">
        <v>64.3015056828413</v>
      </c>
      <c r="DS6" s="120" t="n">
        <v>48.7712060322051</v>
      </c>
      <c r="DT6" s="120" t="n">
        <v>113.072711715046</v>
      </c>
      <c r="DU6" s="121" t="n">
        <f aca="false">DP6-AX6</f>
        <v>-19.125158007176</v>
      </c>
      <c r="DV6" s="65" t="n">
        <f aca="false">TINV(0.1,2)*DG6/SQRT(3)</f>
        <v>0.301118704726621</v>
      </c>
      <c r="DW6" s="66" t="n">
        <f aca="false">DU6/AX6</f>
        <v>-0.0194103963096902</v>
      </c>
      <c r="DX6" s="67" t="n">
        <f aca="false">DV6/AX6</f>
        <v>0.0003056096787703</v>
      </c>
      <c r="DY6" s="45" t="n">
        <f aca="false">DQ6-AY6</f>
        <v>-17.449218690017</v>
      </c>
      <c r="DZ6" s="65" t="n">
        <f aca="false">TINV(0.1,2)*DH6/SQRT(3)</f>
        <v>0.253341459756535</v>
      </c>
      <c r="EA6" s="66" t="n">
        <f aca="false">DY6/AY6</f>
        <v>-0.0189804178802665</v>
      </c>
      <c r="EB6" s="67" t="n">
        <f aca="false">DZ6/AY6</f>
        <v>0.000275572612046337</v>
      </c>
      <c r="EC6" s="45" t="n">
        <f aca="false">DR6-BB6</f>
        <v>-1.67593931715861</v>
      </c>
      <c r="ED6" s="65" t="n">
        <f aca="false">TINV(0.1,2)*DK6/SQRT(3)</f>
        <v>0.13836807193468</v>
      </c>
      <c r="EE6" s="66" t="n">
        <f aca="false">EC6/BB6</f>
        <v>-0.0254017007957585</v>
      </c>
      <c r="EF6" s="67" t="n">
        <f aca="false">ED6/BB6</f>
        <v>0.00209720264151909</v>
      </c>
      <c r="EG6" s="45" t="n">
        <f aca="false">DS6-BC6</f>
        <v>-17.4492926038613</v>
      </c>
      <c r="EH6" s="65" t="n">
        <f aca="false">TINV(0.1,2)*DL6/SQRT(3)</f>
        <v>0.365063558128147</v>
      </c>
      <c r="EI6" s="66" t="n">
        <f aca="false">EG6/BC6</f>
        <v>-0.263502887523678</v>
      </c>
      <c r="EJ6" s="66" t="n">
        <f aca="false">EH6/BC6</f>
        <v>0.00551284822143152</v>
      </c>
      <c r="EK6" s="45" t="n">
        <f aca="false">DT6-BD6</f>
        <v>-19.12523192102</v>
      </c>
      <c r="EL6" s="65" t="n">
        <f aca="false">TINV(0.1,2)*DN6/SQRT(3)</f>
        <v>0.441135452271445</v>
      </c>
      <c r="EM6" s="66" t="n">
        <f aca="false">EK6/BD6</f>
        <v>-0.14467117562487</v>
      </c>
      <c r="EN6" s="66" t="n">
        <f aca="false">EL6/BD6</f>
        <v>0.00333693127243997</v>
      </c>
    </row>
    <row r="7" customFormat="false" ht="12.8" hidden="false" customHeight="false" outlineLevel="0" collapsed="false">
      <c r="A7" s="37" t="n">
        <v>3.4</v>
      </c>
      <c r="B7" s="38" t="n">
        <f aca="false">IFERROR(__xludf.dummyfunction("FILTER(FILTER('Data Scenarios 3-4'!$A$2:$BX$105,'Data Scenarios 3-4'!$A$1:$BX$1=""V_LAPTOP_3_OUTPUT""),'Data Scenarios 3-4'!$B$2:$B$105=$A7,'Data Scenarios 3-4'!$C$2:$C$105=""All"",'Data Scenarios 3-4'!$D$2:$D$105=""Mean"")"),18.1931099944444)</f>
        <v>18.1931099944444</v>
      </c>
      <c r="C7" s="65" t="n">
        <f aca="false">IFERROR(__xludf.dummyfunction("FILTER(FILTER('Data Scenarios 3-4'!$A$2:$BX$105,'Data Scenarios 3-4'!$A$1:$BX$1=""I_LAPTOP_3_OUTPUT""),'Data Scenarios 3-4'!$B$2:$B$105=$A7,'Data Scenarios 3-4'!$C$2:$C$105=""All"",'Data Scenarios 3-4'!$D$2:$D$105=""Mean"")"),3.88435716824742)</f>
        <v>3.88435716824742</v>
      </c>
      <c r="D7" s="65" t="n">
        <f aca="false">IFERROR(__xludf.dummyfunction("FILTER(FILTER('Data Scenarios 3-4'!$A$2:$BX$105,'Data Scenarios 3-4'!$A$1:$BX$1=""P_LAPTOP_3_OUTPUT""),'Data Scenarios 3-4'!$B$2:$B$105=$A7,'Data Scenarios 3-4'!$C$2:$C$105=""All"",'Data Scenarios 3-4'!$D$2:$D$105=""Mean"")"),70.6685371377104)</f>
        <v>70.6685371377104</v>
      </c>
      <c r="E7" s="68" t="n">
        <f aca="false">B7*C7</f>
        <v>70.6685372196339</v>
      </c>
      <c r="F7" s="38" t="n">
        <f aca="false">IFERROR(__xludf.dummyfunction("FILTER(FILTER('Data Scenarios 3-4'!$A$2:$BX$105,'Data Scenarios 3-4'!$A$1:$BX$1=""V_LAPTOP_4_OUTPUT""),'Data Scenarios 3-4'!$B$2:$B$105=$A7,'Data Scenarios 3-4'!$C$2:$C$105=""All"",'Data Scenarios 3-4'!$D$2:$D$105=""Mean"")"),18.2466954416666)</f>
        <v>18.2466954416666</v>
      </c>
      <c r="G7" s="3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3-4'!$D$2:$D$105=""Mean"")"),3.86304499982228)</f>
        <v>3.86304499982228</v>
      </c>
      <c r="H7" s="65" t="n">
        <f aca="false">IFERROR(__xludf.dummyfunction("FILTER(FILTER('Data Scenarios 3-4'!$A$2:$BX$105,'Data Scenarios 3-4'!$A$1:$BX$1=""P_LAPTOP_4_OUTPUT""),'Data Scenarios 3-4'!$B$2:$B$105=$A7,'Data Scenarios 3-4'!$C$2:$C$105=""All"",'Data Scenarios 3-4'!$D$2:$D$105=""Mean"")"),70.4878061230885)</f>
        <v>70.4878061230885</v>
      </c>
      <c r="I7" s="68" t="n">
        <f aca="false">F7*G7</f>
        <v>70.4878055892101</v>
      </c>
      <c r="J7" s="38" t="n">
        <f aca="false">IFERROR(__xludf.dummyfunction("FILTER(FILTER('Data Scenarios 3-4'!$A$2:$BX$105,'Data Scenarios 3-4'!$A$1:$BX$1=""V_LAPTOP_5_OUTPUT""),'Data Scenarios 3-4'!$B$2:$B$105=$A7,'Data Scenarios 3-4'!$C$2:$C$105=""All"",'Data Scenarios 3-4'!$D$2:$D$105=""Mean"")"),18.306484025)</f>
        <v>18.306484025</v>
      </c>
      <c r="K7" s="3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3-4'!$D$2:$D$105=""Mean"")"),3.68480190400566)</f>
        <v>3.68480190400566</v>
      </c>
      <c r="L7" s="65" t="n">
        <f aca="false">IFERROR(__xludf.dummyfunction("FILTER(FILTER('Data Scenarios 3-4'!$A$2:$BX$105,'Data Scenarios 3-4'!$A$1:$BX$1=""P_LAPTOP_5_OUTPUT""),'Data Scenarios 3-4'!$B$2:$B$105=$A7,'Data Scenarios 3-4'!$C$2:$C$105=""All"",'Data Scenarios 3-4'!$D$2:$D$105=""Mean"")"),67.4557529923396)</f>
        <v>67.4557529923396</v>
      </c>
      <c r="M7" s="68" t="n">
        <f aca="false">J7*K7</f>
        <v>67.4557671909692</v>
      </c>
      <c r="N7" s="38" t="n">
        <f aca="false">IFERROR(__xludf.dummyfunction("FILTER(FILTER('Data Scenarios 3-4'!$A$2:$BX$105,'Data Scenarios 3-4'!$A$1:$BX$1=""V_LED_1""),'Data Scenarios 3-4'!$B$2:$B$105=$A7,'Data Scenarios 3-4'!$C$2:$C$105=""All"",'Data Scenarios 3-4'!$D$2:$D$105=""Mean"")"),24.0962240222222)</f>
        <v>24.0962240222222</v>
      </c>
      <c r="O7" s="38" t="n">
        <f aca="false">IFERROR(__xludf.dummyfunction("FILTER(FILTER('Data Scenarios 3-4'!$A$2:$BX$105,'Data Scenarios 3-4'!$A$1:$BX$1=""I_LED_1""),'Data Scenarios 3-4'!$B$2:$B$105=$A7,'Data Scenarios 3-4'!$C$2:$C$105=""All"",'Data Scenarios 3-4'!$D$2:$D$105=""Mean"")"),1.21312779222588)</f>
        <v>1.21312779222588</v>
      </c>
      <c r="P7" s="65" t="n">
        <f aca="false">IFERROR(__xludf.dummyfunction("FILTER(FILTER('Data Scenarios 3-4'!$A$2:$BX$105,'Data Scenarios 3-4'!$A$1:$BX$1=""P_LED_1""),'Data Scenarios 3-4'!$B$2:$B$105=$A7,'Data Scenarios 3-4'!$C$2:$C$105=""All"",'Data Scenarios 3-4'!$D$2:$D$105=""Mean"")"),29.2317990928027)</f>
        <v>29.2317990928027</v>
      </c>
      <c r="Q7" s="69" t="n">
        <f aca="false">N7*O7</f>
        <v>29.2317990490586</v>
      </c>
      <c r="R7" s="38" t="n">
        <f aca="false">IFERROR(__xludf.dummyfunction("FILTER(FILTER('Data Scenarios 3-4'!$A$2:$BX$105,'Data Scenarios 3-4'!$A$1:$BX$1=""V_LED_2""),'Data Scenarios 3-4'!$B$2:$B$105=$A7,'Data Scenarios 3-4'!$C$2:$C$105=""All"",'Data Scenarios 3-4'!$D$2:$D$105=""Mean"")"),23.9949524222222)</f>
        <v>23.9949524222222</v>
      </c>
      <c r="S7" s="38" t="n">
        <f aca="false">IFERROR(__xludf.dummyfunction("FILTER(FILTER('Data Scenarios 3-4'!$A$2:$BX$105,'Data Scenarios 3-4'!$A$1:$BX$1=""I_LED_2""),'Data Scenarios 3-4'!$B$2:$B$105=$A7,'Data Scenarios 3-4'!$C$2:$C$105=""All"",'Data Scenarios 3-4'!$D$2:$D$105=""Mean"")"),1.20969223604885)</f>
        <v>1.20969223604885</v>
      </c>
      <c r="T7" s="65" t="n">
        <f aca="false">IFERROR(__xludf.dummyfunction("FILTER(FILTER('Data Scenarios 3-4'!$A$2:$BX$105,'Data Scenarios 3-4'!$A$1:$BX$1=""P_LED_2""),'Data Scenarios 3-4'!$B$2:$B$105=$A7,'Data Scenarios 3-4'!$C$2:$C$105=""All"",'Data Scenarios 3-4'!$D$2:$D$105=""Mean"")"),29.0265074352442)</f>
        <v>29.0265074352442</v>
      </c>
      <c r="U7" s="69" t="n">
        <f aca="false">R7*S7</f>
        <v>29.0265076495237</v>
      </c>
      <c r="V7" s="38" t="n">
        <f aca="false">IFERROR(__xludf.dummyfunction("FILTER(FILTER('Data Scenarios 3-4'!$A$2:$BX$105,'Data Scenarios 3-4'!$A$1:$BX$1=""V_LED_3""),'Data Scenarios 3-4'!$B$2:$B$105=$A7,'Data Scenarios 3-4'!$C$2:$C$105=""All"",'Data Scenarios 3-4'!$D$2:$D$105=""Mean"")"),24.0170197833333)</f>
        <v>24.0170197833333</v>
      </c>
      <c r="W7" s="38" t="n">
        <f aca="false">IFERROR(__xludf.dummyfunction("FILTER(FILTER('Data Scenarios 3-4'!$A$2:$BX$105,'Data Scenarios 3-4'!$A$1:$BX$1=""I_LED_3""),'Data Scenarios 3-4'!$B$2:$B$105=$A7,'Data Scenarios 3-4'!$C$2:$C$105=""All"",'Data Scenarios 3-4'!$D$2:$D$105=""Mean"")"),1.17293751714811)</f>
        <v>1.17293751714811</v>
      </c>
      <c r="X7" s="65" t="n">
        <f aca="false">IFERROR(__xludf.dummyfunction("FILTER(FILTER('Data Scenarios 3-4'!$A$2:$BX$105,'Data Scenarios 3-4'!$A$1:$BX$1=""P_LED_3""),'Data Scenarios 3-4'!$B$2:$B$105=$A7,'Data Scenarios 3-4'!$C$2:$C$105=""All"",'Data Scenarios 3-4'!$D$2:$D$105=""Mean"")"),28.1704635760615)</f>
        <v>28.1704635760615</v>
      </c>
      <c r="Y7" s="69" t="n">
        <f aca="false">V7*W7</f>
        <v>28.17046355396</v>
      </c>
      <c r="Z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A7" s="112" t="n">
        <v>0</v>
      </c>
      <c r="AB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3-4'!$D$2:$D$105=""Mean"")"),0)</f>
        <v>0</v>
      </c>
      <c r="AC7" s="126" t="n">
        <f aca="false">Z7^2*AA7</f>
        <v>0</v>
      </c>
      <c r="AD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E7" s="112" t="n">
        <v>0</v>
      </c>
      <c r="AF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3-4'!$D$2:$D$105=""Mean"")"),0)</f>
        <v>0</v>
      </c>
      <c r="AG7" s="113" t="n">
        <f aca="false">AD7^2*AE7</f>
        <v>0</v>
      </c>
      <c r="AH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I7" s="112" t="n">
        <v>0</v>
      </c>
      <c r="AJ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3-4'!$D$2:$D$105=""Mean"")"),0)</f>
        <v>0</v>
      </c>
      <c r="AK7" s="113" t="n">
        <f aca="false">AH7^2*AI7</f>
        <v>0</v>
      </c>
      <c r="AL7" s="111" t="n">
        <f aca="false">IFERROR(__xludf.dummyfunction("FILTER(FILTER('Data Scenarios 3-4'!$A$2:$BX$105,'Data Scenarios 3-4'!$A$1:$BX$1=""V_an""),'Data Scenarios 3-4'!$B$2:$B$105=$A7,'Data Scenarios 3-4'!$C$2:$C$105=""All"",'Data Scenarios 3-4'!$D$2:$D$105=""Mean"")"),121.036479166666)</f>
        <v>121.036479166666</v>
      </c>
      <c r="AM7" s="122" t="n">
        <v>0.026068</v>
      </c>
      <c r="AN7" s="41" t="n">
        <f aca="false">IFERROR(__xludf.dummyfunction("FILTER(FILTER('Data Scenarios 3-4'!$A$2:$BX$105,'Data Scenarios 3-4'!$A$1:$BX$1=""P_HEATER_2_A""),'Data Scenarios 3-4'!$B$2:$B$105=$A7,'Data Scenarios 3-4'!$C$2:$C$105=""All"",'Data Scenarios 3-4'!$D$2:$D$105=""Mean"")"),384.697996527777)</f>
        <v>384.697996527777</v>
      </c>
      <c r="AO7" s="123" t="n">
        <f aca="false">AL7^2*AM7</f>
        <v>381.891749907288</v>
      </c>
      <c r="AP7" s="111" t="n">
        <f aca="false">IFERROR(__xludf.dummyfunction("FILTER(FILTER('Data Scenarios 3-4'!$A$2:$BX$105,'Data Scenarios 3-4'!$A$1:$BX$1=""V_bn""),'Data Scenarios 3-4'!$B$2:$B$105=$A7,'Data Scenarios 3-4'!$C$2:$C$105=""All"",'Data Scenarios 3-4'!$D$2:$D$105=""Mean"")"),120.716356111111)</f>
        <v>120.716356111111</v>
      </c>
      <c r="AQ7" s="122" t="n">
        <v>0.026084</v>
      </c>
      <c r="AR7" s="41" t="n">
        <f aca="false">IFERROR(__xludf.dummyfunction("FILTER(FILTER('Data Scenarios 3-4'!$A$2:$BX$105,'Data Scenarios 3-4'!$A$1:$BX$1=""P_HEATER_2_B""),'Data Scenarios 3-4'!$B$2:$B$105=$A7,'Data Scenarios 3-4'!$C$2:$C$105=""All"",'Data Scenarios 3-4'!$D$2:$D$105=""Mean"")"),384.843461805555)</f>
        <v>384.843461805555</v>
      </c>
      <c r="AS7" s="123" t="n">
        <f aca="false">AP7^2*AQ7</f>
        <v>380.107489296509</v>
      </c>
      <c r="AT7" s="111" t="n">
        <f aca="false">IFERROR(__xludf.dummyfunction("FILTER(FILTER('Data Scenarios 3-4'!$A$2:$BX$105,'Data Scenarios 3-4'!$A$1:$BX$1=""V_cn""),'Data Scenarios 3-4'!$B$2:$B$105=$A7,'Data Scenarios 3-4'!$C$2:$C$105=""All"",'Data Scenarios 3-4'!$D$2:$D$105=""Mean"")"),120.982394722222)</f>
        <v>120.982394722222</v>
      </c>
      <c r="AU7" s="122" t="n">
        <v>0.026594</v>
      </c>
      <c r="AV7" s="41" t="n">
        <f aca="false">IFERROR(__xludf.dummyfunction("FILTER(FILTER('Data Scenarios 3-4'!$A$2:$BX$105,'Data Scenarios 3-4'!$A$1:$BX$1=""P_HEATER_2_C""),'Data Scenarios 3-4'!$B$2:$B$105=$A7,'Data Scenarios 3-4'!$C$2:$C$105=""All"",'Data Scenarios 3-4'!$D$2:$D$105=""Mean"")"),397.611256944444)</f>
        <v>397.611256944444</v>
      </c>
      <c r="AW7" s="123" t="n">
        <f aca="false">AT7^2*AU7</f>
        <v>389.24945911145</v>
      </c>
      <c r="AX7" s="44" t="n">
        <f aca="false">IFERROR(__xludf.dummyfunction("FILTER(FILTER('Data Scenarios 3-4'!$A$2:$BX$105,'Data Scenarios 3-4'!$A$1:$BX$1=""P_In""),'Data Scenarios 3-4'!$B$2:$B$105=$A7,'Data Scenarios 3-4'!$C$2:$C$105=""All"",'Data Scenarios 3-4'!$D$2:$D$105=""Mean"")"),1613.16008)</f>
        <v>1613.16008</v>
      </c>
      <c r="AY7" s="74" t="n">
        <f aca="false">IFERROR(__xludf.dummyfunction("FILTER(FILTER('Data Scenarios 3-4'!$A$2:$BX$105,'Data Scenarios 3-4'!$A$1:$BX$1=""P_Secondary""),'Data Scenarios 3-4'!$B$2:$B$105=$A7,'Data Scenarios 3-4'!$C$2:$C$105=""All"",'Data Scenarios 3-4'!$D$2:$D$105=""Mean"")"),1529.16287722222)</f>
        <v>1529.16287722222</v>
      </c>
      <c r="AZ7" s="59" t="n">
        <f aca="false">IFERROR(__xludf.dummyfunction("FILTER(FILTER('Data Scenarios 3-4'!$A$2:$BX$105,'Data Scenarios 3-4'!$A$1:$BX$1=""P_Out""),'Data Scenarios 3-4'!$B$2:$B$105=$A7,'Data Scenarios 3-4'!$C$2:$C$105=""All"",'Data Scenarios 3-4'!$D$2:$D$105=""Mean"")"),1462.19358163502)</f>
        <v>1462.19358163502</v>
      </c>
      <c r="BA7" s="114" t="n">
        <f aca="false">E7+I7+M7+Q7+U7+Y7+AC7+AG7+AK7+AO7+AS7+AW7</f>
        <v>1446.2895785676</v>
      </c>
      <c r="BB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BC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BD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BE7" s="54" t="n">
        <f aca="false">IFERROR(__xludf.dummyfunction("FILTER(FILTER('Data Scenarios 3-4'!$A$2:$BX$105,'Data Scenarios 3-4'!$A$1:$BX$1=""V_LAPTOP_3_OUTPUT""),'Data Scenarios 3-4'!$B$2:$B$105=$A7,'Data Scenarios 3-4'!$C$2:$C$105=""All"",'Data Scenarios 3-4'!$D$2:$D$105=""Standard Deviation"")"),0.00198337736996509)</f>
        <v>0.00198337736996509</v>
      </c>
      <c r="BF7" s="48" t="n">
        <f aca="false">IFERROR(__xludf.dummyfunction("FILTER(FILTER('Data Scenarios 3-4'!$A$2:$BX$105,'Data Scenarios 3-4'!$A$1:$BX$1=""I_LAPTOP_3_OUTPUT""),'Data Scenarios 3-4'!$B$2:$B$105=$A7,'Data Scenarios 3-4'!$C$2:$C$105=""All"",'Data Scenarios 3-4'!$D$2:$D$105=""Standard Deviation"")"),0.00256768622805638)</f>
        <v>0.00256768622805638</v>
      </c>
      <c r="BG7" s="72" t="n">
        <f aca="false">IFERROR(__xludf.dummyfunction("FILTER(FILTER('Data Scenarios 3-4'!$A$2:$BX$105,'Data Scenarios 3-4'!$A$1:$BX$1=""V_LAPTOP_3_OUTPUT * I_LAPTOP_3_OUTPUT""),'Data Scenarios 3-4'!$B$2:$B$105=$A7,'Data Scenarios 3-4'!$C$2:$C$105=""All"",'Data Scenarios 3-4'!$D$2:$D$105=""Covariance"")"),-0.000000722570321608364)</f>
        <v>-7.22570321608364E-007</v>
      </c>
      <c r="BH7" s="50" t="n">
        <f aca="false">IFERROR(__xludf.dummyfunction("FILTER(FILTER('Data Scenarios 3-4'!$A$2:$BX$105,'Data Scenarios 3-4'!$A$1:$BX$1=""P_LAPTOP_3_OUTPUT""),'Data Scenarios 3-4'!$B$2:$B$105=$A7,'Data Scenarios 3-4'!$C$2:$C$105=""All"",'Data Scenarios 3-4'!$D$2:$D$105=""Standard Deviation"")"),0.0462570370398915)</f>
        <v>0.0462570370398915</v>
      </c>
      <c r="BI7" s="51" t="n">
        <f aca="false">SQRT(BE7^2*(C7)^2+BF7^2*(B7)^2+2*BG7*(C7)*(B7))</f>
        <v>0.046254126136116</v>
      </c>
      <c r="BJ7" s="47" t="n">
        <f aca="false">IFERROR(__xludf.dummyfunction("FILTER(FILTER('Data Scenarios 3-4'!$A$2:$BX$105,'Data Scenarios 3-4'!$A$1:$BX$1=""V_LAPTOP_4_OUTPUT""),'Data Scenarios 3-4'!$B$2:$B$105=$A7,'Data Scenarios 3-4'!$C$2:$C$105=""All"",'Data Scenarios 3-4'!$D$2:$D$105=""Standard Deviation"")"),0.000489131705807171)</f>
        <v>0.000489131705807171</v>
      </c>
      <c r="BK7" s="48" t="n">
        <f aca="false">IFERROR(__xludf.dummyfunction("FILTER(FILTER('Data Scenarios 3-4'!$A$2:$BX$105,'Data Scenarios 3-4'!$A$1:$BX$1=""I_LAPTOP_4_OUTPUT""),'Data Scenarios 3-4'!$B$2:$B$105=$A7,'Data Scenarios 3-4'!$C$2:$C$105=""All"",'Data Scenarios 3-4'!$D$2:$D$105=""Standard Deviation"")"),0.00161062255148851)</f>
        <v>0.00161062255148851</v>
      </c>
      <c r="BL7" s="72" t="n">
        <f aca="false">IFERROR(__xludf.dummyfunction("FILTER(FILTER('Data Scenarios 3-4'!$A$2:$BX$105,'Data Scenarios 3-4'!$A$1:$BX$1=""V_LAPTOP_4_OUTPUT * I_LAPTOP_4_OUTPUT""),'Data Scenarios 3-4'!$B$2:$B$105=$A7,'Data Scenarios 3-4'!$C$2:$C$105=""All"",'Data Scenarios 3-4'!$D$2:$D$105=""Covariance"")"),0.000000729194533957711)</f>
        <v>7.29194533957711E-007</v>
      </c>
      <c r="BM7" s="50" t="n">
        <f aca="false">IFERROR(__xludf.dummyfunction("FILTER(FILTER('Data Scenarios 3-4'!$A$2:$BX$105,'Data Scenarios 3-4'!$A$1:$BX$1=""P_LAPTOP_4_OUTPUT""),'Data Scenarios 3-4'!$B$2:$B$105=$A7,'Data Scenarios 3-4'!$C$2:$C$105=""All"",'Data Scenarios 3-4'!$D$2:$D$105=""Standard Deviation"")"),0.0311453537462554)</f>
        <v>0.0311453537462554</v>
      </c>
      <c r="BN7" s="51" t="n">
        <f aca="false">SQRT(BJ7^2*(G7)^2+BK7^2*(F7)^2+2*BL7*(G7)*(F7))</f>
        <v>0.0311457096983167</v>
      </c>
      <c r="BO7" s="47" t="n">
        <f aca="false">IFERROR(__xludf.dummyfunction("FILTER(FILTER('Data Scenarios 3-4'!$A$2:$BX$105,'Data Scenarios 3-4'!$A$1:$BX$1=""V_LAPTOP_5_OUTPUT""),'Data Scenarios 3-4'!$B$2:$B$105=$A7,'Data Scenarios 3-4'!$C$2:$C$105=""All"",'Data Scenarios 3-4'!$D$2:$D$105=""Standard Deviation"")"),0.00144174845256929)</f>
        <v>0.00144174845256929</v>
      </c>
      <c r="BP7" s="48" t="n">
        <f aca="false">IFERROR(__xludf.dummyfunction("FILTER(FILTER('Data Scenarios 3-4'!$A$2:$BX$105,'Data Scenarios 3-4'!$A$1:$BX$1=""I_LAPTOP_5_OUTPUT""),'Data Scenarios 3-4'!$B$2:$B$105=$A7,'Data Scenarios 3-4'!$C$2:$C$105=""All"",'Data Scenarios 3-4'!$D$2:$D$105=""Standard Deviation"")"),0.0138867971873221)</f>
        <v>0.0138867971873221</v>
      </c>
      <c r="BQ7" s="52" t="n">
        <f aca="false">IFERROR(__xludf.dummyfunction("FILTER(FILTER('Data Scenarios 3-4'!$A$2:$BX$105,'Data Scenarios 3-4'!$A$1:$BX$1=""V_LAPTOP_5_OUTPUT * I_LAPTOP_5_OUTPUT""),'Data Scenarios 3-4'!$B$2:$B$105=$A7,'Data Scenarios 3-4'!$C$2:$C$105=""All"",'Data Scenarios 3-4'!$D$2:$D$105=""Covariance"")"),-0.0000199718275407121)</f>
        <v>-1.99718275407121E-005</v>
      </c>
      <c r="BR7" s="38" t="n">
        <f aca="false">IFERROR(__xludf.dummyfunction("FILTER(FILTER('Data Scenarios 3-4'!$A$2:$BX$105,'Data Scenarios 3-4'!$A$1:$BX$1=""P_LAPTOP_5_OUTPUT""),'Data Scenarios 3-4'!$B$2:$B$105=$A7,'Data Scenarios 3-4'!$C$2:$C$105=""All"",'Data Scenarios 3-4'!$D$2:$D$105=""Standard Deviation"")"),0.248930738754776)</f>
        <v>0.248930738754776</v>
      </c>
      <c r="BS7" s="51" t="n">
        <f aca="false">SQRT(BO7^2*(K7)^2+BP7^2*(J7)^2+2*BQ7*(K7)*(J7))</f>
        <v>0.248919271977302</v>
      </c>
      <c r="BT7" s="54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BU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BV7" s="49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BW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BX7" s="71" t="n">
        <f aca="false">SQRT(BT7^2*(O7)^2+BU7^2*(N7)^2+2*BV7*(O7)*(N7))</f>
        <v>0.00313642170985019</v>
      </c>
      <c r="BY7" s="47" t="n">
        <f aca="false">IFERROR(__xludf.dummyfunction("FILTER(FILTER('Data Scenarios 3-4'!$A$2:$BX$105,'Data Scenarios 3-4'!$A$1:$BX$1=""V_LED_2""),'Data Scenarios 3-4'!$B$2:$B$105=$A7,'Data Scenarios 3-4'!$C$2:$C$105=""All"",'Data Scenarios 3-4'!$D$2:$D$105=""Standard Deviation"")"),0.00059625579908367)</f>
        <v>0.00059625579908367</v>
      </c>
      <c r="BZ7" s="48" t="n">
        <f aca="false">IFERROR(__xludf.dummyfunction("FILTER(FILTER('Data Scenarios 3-4'!$A$2:$BX$105,'Data Scenarios 3-4'!$A$1:$BX$1=""I_LED_2""),'Data Scenarios 3-4'!$B$2:$B$105=$A7,'Data Scenarios 3-4'!$C$2:$C$105=""All"",'Data Scenarios 3-4'!$D$2:$D$105=""Standard Deviation"")"),0.000587841197208545)</f>
        <v>0.000587841197208545</v>
      </c>
      <c r="CA7" s="49" t="n">
        <f aca="false">IFERROR(__xludf.dummyfunction("FILTER(FILTER('Data Scenarios 3-4'!$A$2:$BX$105,'Data Scenarios 3-4'!$A$1:$BX$1=""V_LED_2 * I_LED_2""),'Data Scenarios 3-4'!$B$2:$B$105=$A7,'Data Scenarios 3-4'!$C$2:$C$105=""All"",'Data Scenarios 3-4'!$D$2:$D$105=""Covariance"")"),-0.000000346486255699046)</f>
        <v>-3.46486255699046E-007</v>
      </c>
      <c r="CB7" s="50" t="n">
        <f aca="false">IFERROR(__xludf.dummyfunction("FILTER(FILTER('Data Scenarios 3-4'!$A$2:$BX$105,'Data Scenarios 3-4'!$A$1:$BX$1=""P_LED_2""),'Data Scenarios 3-4'!$B$2:$B$105=$A7,'Data Scenarios 3-4'!$C$2:$C$105=""All"",'Data Scenarios 3-4'!$D$2:$D$105=""Standard Deviation"")"),0.0133927141736721)</f>
        <v>0.0133927141736721</v>
      </c>
      <c r="CC7" s="51" t="n">
        <f aca="false">SQRT(BY7^2*(S7)^2+BZ7^2*(R7)^2+2*CA7*(S7)*(R7))</f>
        <v>0.0133926456247614</v>
      </c>
      <c r="CD7" s="47" t="n">
        <f aca="false">IFERROR(__xludf.dummyfunction("FILTER(FILTER('Data Scenarios 3-4'!$A$2:$BX$105,'Data Scenarios 3-4'!$A$1:$BX$1=""V_LED_1""),'Data Scenarios 3-4'!$B$2:$B$105=$A7,'Data Scenarios 3-4'!$C$2:$C$105=""All"",'Data Scenarios 3-4'!$D$2:$D$105=""Standard Deviation"")"),0.000801644495808023)</f>
        <v>0.000801644495808023</v>
      </c>
      <c r="CE7" s="48" t="n">
        <f aca="false">IFERROR(__xludf.dummyfunction("FILTER(FILTER('Data Scenarios 3-4'!$A$2:$BX$105,'Data Scenarios 3-4'!$A$1:$BX$1=""I_LED_1""),'Data Scenarios 3-4'!$B$2:$B$105=$A7,'Data Scenarios 3-4'!$C$2:$C$105=""All"",'Data Scenarios 3-4'!$D$2:$D$105=""Standard Deviation"")"),0.0000969403005381744)</f>
        <v>9.69403005381744E-005</v>
      </c>
      <c r="CF7" s="72" t="n">
        <f aca="false">IFERROR(__xludf.dummyfunction("FILTER(FILTER('Data Scenarios 3-4'!$A$2:$BX$105,'Data Scenarios 3-4'!$A$1:$BX$1=""V_LED_1 * I_LED_1""),'Data Scenarios 3-4'!$B$2:$B$105=$A7,'Data Scenarios 3-4'!$C$2:$C$105=""All"",'Data Scenarios 3-4'!$D$2:$D$105=""Covariance"")"),0.0000000587542340431372)</f>
        <v>5.87542340431372E-008</v>
      </c>
      <c r="CG7" s="38" t="n">
        <f aca="false">IFERROR(__xludf.dummyfunction("FILTER(FILTER('Data Scenarios 3-4'!$A$2:$BX$105,'Data Scenarios 3-4'!$A$1:$BX$1=""P_LED_1""),'Data Scenarios 3-4'!$B$2:$B$105=$A7,'Data Scenarios 3-4'!$C$2:$C$105=""All"",'Data Scenarios 3-4'!$D$2:$D$105=""Standard Deviation"")"),0.00313636725054099)</f>
        <v>0.00313636725054099</v>
      </c>
      <c r="CH7" s="71" t="n">
        <f aca="false">SQRT(CD7^2*(W7)^2+CE7^2*(V7)^2+2*CF7*(W7)*(V7))</f>
        <v>0.00310080431086479</v>
      </c>
      <c r="CI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J7" s="116" t="n">
        <v>0</v>
      </c>
      <c r="CK7" s="41" t="n">
        <f aca="false">IFERROR(__xludf.dummyfunction("FILTER(FILTER('Data Scenarios 3-4'!$A$2:$BX$105,'Data Scenarios 3-4'!$A$1:$BX$1=""P_HEATER_1_A""),'Data Scenarios 3-4'!$B$2:$B$105=$A7,'Data Scenarios 3-4'!$C$2:$C$105=""All"",'Data Scenarios 3-4'!$D$2:$D$105=""Standard Deviation"")"),0)</f>
        <v>0</v>
      </c>
      <c r="CL7" s="117" t="n">
        <f aca="false">SQRT(CI7^2*(2*Z7*AA7)^2+CJ7^2*(Z7^2)^2)</f>
        <v>0</v>
      </c>
      <c r="CM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N7" s="116" t="n">
        <v>0</v>
      </c>
      <c r="CO7" s="41" t="n">
        <f aca="false">IFERROR(__xludf.dummyfunction("FILTER(FILTER('Data Scenarios 3-4'!$A$2:$BX$105,'Data Scenarios 3-4'!$A$1:$BX$1=""P_HEATER_1_B""),'Data Scenarios 3-4'!$B$2:$B$105=$A7,'Data Scenarios 3-4'!$C$2:$C$105=""All"",'Data Scenarios 3-4'!$D$2:$D$105=""Standard Deviation"")"),0)</f>
        <v>0</v>
      </c>
      <c r="CP7" s="117" t="n">
        <f aca="false">SQRT(CM7^2*(2*AD7*AE7)^2+CN7^2*(AD7^2)^2)</f>
        <v>0</v>
      </c>
      <c r="CQ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CR7" s="116" t="n">
        <v>0</v>
      </c>
      <c r="CS7" s="41" t="n">
        <f aca="false">IFERROR(__xludf.dummyfunction("FILTER(FILTER('Data Scenarios 3-4'!$A$2:$BX$105,'Data Scenarios 3-4'!$A$1:$BX$1=""P_HEATER_1_C""),'Data Scenarios 3-4'!$B$2:$B$105=$A7,'Data Scenarios 3-4'!$C$2:$C$105=""All"",'Data Scenarios 3-4'!$D$2:$D$105=""Standard Deviation"")"),0)</f>
        <v>0</v>
      </c>
      <c r="CT7" s="117" t="n">
        <f aca="false">SQRT(CQ7^2*(2*AH7*AI7)^2+CR7^2*(AH7^2)^2)</f>
        <v>0</v>
      </c>
      <c r="CU7" s="115" t="n">
        <f aca="false">IFERROR(__xludf.dummyfunction("FILTER(FILTER('Data Scenarios 3-4'!$A$2:$BX$105,'Data Scenarios 3-4'!$A$1:$BX$1=""V_an""),'Data Scenarios 3-4'!$B$2:$B$105=$A7,'Data Scenarios 3-4'!$C$2:$C$105=""All"",'Data Scenarios 3-4'!$D$2:$D$105=""Standard Deviation"")"),0.0448299368989131)</f>
        <v>0.0448299368989131</v>
      </c>
      <c r="CV7" s="125" t="n">
        <v>4.7E-005</v>
      </c>
      <c r="CW7" s="65" t="n">
        <f aca="false">IFERROR(__xludf.dummyfunction("FILTER(FILTER('Data Scenarios 3-4'!$A$2:$BX$105,'Data Scenarios 3-4'!$A$1:$BX$1=""P_HEATER_2_A""),'Data Scenarios 3-4'!$B$2:$B$105=$A7,'Data Scenarios 3-4'!$C$2:$C$105=""All"",'Data Scenarios 3-4'!$D$2:$D$105=""Standard Deviation"")"),0.347348460090358)</f>
        <v>0.347348460090358</v>
      </c>
      <c r="CX7" s="117" t="n">
        <f aca="false">SQRT(CU7^2*(2*AL7*AM7)^2+CV7^2*(AL7^2)^2)</f>
        <v>0.744391343393499</v>
      </c>
      <c r="CY7" s="115" t="n">
        <f aca="false">IFERROR(__xludf.dummyfunction("FILTER(FILTER('Data Scenarios 3-4'!$A$2:$BX$105,'Data Scenarios 3-4'!$A$1:$BX$1=""V_bn""),'Data Scenarios 3-4'!$B$2:$B$105=$A7,'Data Scenarios 3-4'!$C$2:$C$105=""All"",'Data Scenarios 3-4'!$D$2:$D$105=""Standard Deviation"")"),0.0834270094084821)</f>
        <v>0.0834270094084821</v>
      </c>
      <c r="CZ7" s="125" t="n">
        <v>3.3E-005</v>
      </c>
      <c r="DA7" s="65" t="n">
        <f aca="false">IFERROR(__xludf.dummyfunction("FILTER(FILTER('Data Scenarios 3-4'!$A$2:$BX$105,'Data Scenarios 3-4'!$A$1:$BX$1=""P_HEATER_2_B""),'Data Scenarios 3-4'!$B$2:$B$105=$A7,'Data Scenarios 3-4'!$C$2:$C$105=""All"",'Data Scenarios 3-4'!$D$2:$D$105=""Standard Deviation"")"),1.3223889484827)</f>
        <v>1.3223889484827</v>
      </c>
      <c r="DB7" s="117" t="n">
        <f aca="false">SQRT(CY7^2*(2*AP7*AQ7)^2+CZ7^2*(AP7^2)^2)</f>
        <v>0.712238844439637</v>
      </c>
      <c r="DC7" s="115" t="n">
        <f aca="false">IFERROR(__xludf.dummyfunction("FILTER(FILTER('Data Scenarios 3-4'!$A$2:$BX$105,'Data Scenarios 3-4'!$A$1:$BX$1=""V_cn""),'Data Scenarios 3-4'!$B$2:$B$105=$A7,'Data Scenarios 3-4'!$C$2:$C$105=""All"",'Data Scenarios 3-4'!$D$2:$D$105=""Standard Deviation"")"),0.0420951819073727)</f>
        <v>0.0420951819073727</v>
      </c>
      <c r="DD7" s="125" t="n">
        <v>3.5E-005</v>
      </c>
      <c r="DE7" s="65" t="n">
        <f aca="false">IFERROR(__xludf.dummyfunction("FILTER(FILTER('Data Scenarios 3-4'!$A$2:$BX$105,'Data Scenarios 3-4'!$A$1:$BX$1=""P_HEATER_2_C""),'Data Scenarios 3-4'!$B$2:$B$105=$A7,'Data Scenarios 3-4'!$C$2:$C$105=""All"",'Data Scenarios 3-4'!$D$2:$D$105=""Standard Deviation"")"),0.774713802885719)</f>
        <v>0.774713802885719</v>
      </c>
      <c r="DF7" s="117" t="n">
        <f aca="false">SQRT(DC7^2*(2*AT7*AU7)^2+DD7^2*(AT7^2)^2)</f>
        <v>0.579491041740562</v>
      </c>
      <c r="DG7" s="57" t="n">
        <f aca="false">IFERROR(__xludf.dummyfunction("FILTER(FILTER('Data Scenarios 3-4'!$A$2:$BX$105,'Data Scenarios 3-4'!$A$1:$BX$1=""P_In""),'Data Scenarios 3-4'!$B$2:$B$105=$A7,'Data Scenarios 3-4'!$C$2:$C$105=""All"",'Data Scenarios 3-4'!$D$2:$D$105=""Standard Deviation"")"),2.65996503112626)</f>
        <v>2.65996503112626</v>
      </c>
      <c r="DH7" s="58" t="n">
        <f aca="false">IFERROR(__xludf.dummyfunction("FILTER(FILTER('Data Scenarios 3-4'!$A$2:$BX$105,'Data Scenarios 3-4'!$A$1:$BX$1=""P_Secondary""),'Data Scenarios 3-4'!$B$2:$B$105=$A7,'Data Scenarios 3-4'!$C$2:$C$105=""All"",'Data Scenarios 3-4'!$D$2:$D$105=""Standard Deviation"")"),2.6303926989941)</f>
        <v>2.6303926989941</v>
      </c>
      <c r="DI7" s="74" t="n">
        <f aca="false">IFERROR(__xludf.dummyfunction("FILTER(FILTER('Data Scenarios 3-4'!$A$2:$BX$105,'Data Scenarios 3-4'!$A$1:$BX$1=""P_Out""),'Data Scenarios 3-4'!$B$2:$B$105=$A7,'Data Scenarios 3-4'!$C$2:$C$105=""All"",'Data Scenarios 3-4'!$D$2:$D$105=""Standard Deviation"")"),2.49559843570522)</f>
        <v>2.49559843570522</v>
      </c>
      <c r="DJ7" s="75" t="n">
        <f aca="false">SQRT(BH7^2+BM7^2+BR7^2+BW7^2+CB7^2+CG7^2+CK7^2+CO7^2+CS7^2+CW7^2+DA7^2+DE7^2)</f>
        <v>1.59211188608171</v>
      </c>
      <c r="DK7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3-4'!$D$2:$D$105=""Standard Deviation"")"),0.0947180134088895)</f>
        <v>0.0947180134088895</v>
      </c>
      <c r="DL7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3-4'!$D$2:$D$105=""Standard Deviation"")"),0.134869110283131)</f>
        <v>0.134869110283131</v>
      </c>
      <c r="DM7" s="75" t="n">
        <f aca="false">SQRT(DH7^2+MAX(DI7:DJ7)^2)</f>
        <v>3.62587607389108</v>
      </c>
      <c r="DN7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3-4'!$D$2:$D$105=""Standard Deviation"")"),0.18419282689509)</f>
        <v>0.18419282689509</v>
      </c>
      <c r="DO7" s="75" t="n">
        <f aca="false">SQRT(DG7^2+MAX(DI7:DJ7)^2)</f>
        <v>3.64738612147232</v>
      </c>
      <c r="DP7" s="119" t="n">
        <v>1598.83056234929</v>
      </c>
      <c r="DQ7" s="120" t="n">
        <v>1511.09824509339</v>
      </c>
      <c r="DR7" s="120" t="n">
        <v>87.7323172558963</v>
      </c>
      <c r="DS7" s="120" t="n">
        <v>48.9042450933941</v>
      </c>
      <c r="DT7" s="120" t="n">
        <v>136.63656234929</v>
      </c>
      <c r="DU7" s="121" t="n">
        <f aca="false">DP7-AX7</f>
        <v>-14.3295176507102</v>
      </c>
      <c r="DV7" s="65" t="n">
        <f aca="false">TINV(0.1,2)*DG7/SQRT(3)</f>
        <v>4.48431391342137</v>
      </c>
      <c r="DW7" s="66" t="n">
        <f aca="false">DU7/AX7</f>
        <v>-0.00888288634734264</v>
      </c>
      <c r="DX7" s="67" t="n">
        <f aca="false">DV7/AX7</f>
        <v>0.00277983193919686</v>
      </c>
      <c r="DY7" s="45" t="n">
        <f aca="false">DQ7-AY7</f>
        <v>-18.06463212883</v>
      </c>
      <c r="DZ7" s="65" t="n">
        <f aca="false">TINV(0.1,2)*DH7/SQRT(3)</f>
        <v>4.43445926537871</v>
      </c>
      <c r="EA7" s="66" t="n">
        <f aca="false">DY7/AY7</f>
        <v>-0.0118134126834449</v>
      </c>
      <c r="EB7" s="67" t="n">
        <f aca="false">DZ7/AY7</f>
        <v>0.00289992605198085</v>
      </c>
      <c r="EC7" s="45" t="n">
        <f aca="false">DR7-BB7</f>
        <v>3.7351144781186</v>
      </c>
      <c r="ED7" s="65" t="n">
        <f aca="false">TINV(0.1,2)*DK7/SQRT(3)</f>
        <v>0.159680785427947</v>
      </c>
      <c r="EE7" s="66" t="n">
        <f aca="false">EC7/BB7</f>
        <v>0.0444671293162011</v>
      </c>
      <c r="EF7" s="67" t="n">
        <f aca="false">ED7/BB7</f>
        <v>0.0019010250359217</v>
      </c>
      <c r="EG7" s="45" t="n">
        <f aca="false">DS7-BC7</f>
        <v>-18.0650504938031</v>
      </c>
      <c r="EH7" s="65" t="n">
        <f aca="false">TINV(0.1,2)*DL7/SQRT(3)</f>
        <v>0.227369691201289</v>
      </c>
      <c r="EI7" s="66" t="n">
        <f aca="false">EG7/BC7</f>
        <v>-0.269751239510673</v>
      </c>
      <c r="EJ7" s="66" t="n">
        <f aca="false">EH7/BC7</f>
        <v>0.00339513338475007</v>
      </c>
      <c r="EK7" s="45" t="n">
        <f aca="false">DT7-BD7</f>
        <v>-14.329936015685</v>
      </c>
      <c r="EL7" s="65" t="n">
        <f aca="false">TINV(0.1,2)*DN7/SQRT(3)</f>
        <v>0.310522298877116</v>
      </c>
      <c r="EM7" s="66" t="n">
        <f aca="false">EK7/BD7</f>
        <v>-0.0949212982408925</v>
      </c>
      <c r="EN7" s="66" t="n">
        <f aca="false">EL7/BD7</f>
        <v>0.00205689541878623</v>
      </c>
    </row>
    <row r="8" customFormat="false" ht="12.8" hidden="false" customHeight="false" outlineLevel="0" collapsed="false">
      <c r="A8" s="37" t="n">
        <v>4.1</v>
      </c>
      <c r="B8" s="38" t="n">
        <f aca="false">IFERROR(__xludf.dummyfunction("FILTER(FILTER('Data Scenarios 3-4'!$A$2:$BX$105,'Data Scenarios 3-4'!$A$1:$BX$1=""V_LAPTOP_3_OUTPUT""),'Data Scenarios 3-4'!$B$2:$B$105=$A8,'Data Scenarios 3-4'!$C$2:$C$105=""All"",'Data Scenarios 3-4'!$D$2:$D$105=""Mean"")"),18.9857490944444)</f>
        <v>18.9857490944444</v>
      </c>
      <c r="C8" s="3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3-4'!$D$2:$D$105=""Mean"")"),0.00273346222594614)</f>
        <v>0.00273346222594614</v>
      </c>
      <c r="D8" s="38" t="n">
        <f aca="false">IFERROR(__xludf.dummyfunction("FILTER(FILTER('Data Scenarios 3-4'!$A$2:$BX$105,'Data Scenarios 3-4'!$A$1:$BX$1=""P_LAPTOP_3_OUTPUT""),'Data Scenarios 3-4'!$B$2:$B$105=$A8,'Data Scenarios 3-4'!$C$2:$C$105=""All"",'Data Scenarios 3-4'!$D$2:$D$105=""Mean"")"),0.051896829241867)</f>
        <v>0.051896829241867</v>
      </c>
      <c r="E8" s="39" t="n">
        <v>0</v>
      </c>
      <c r="F8" s="38" t="n">
        <f aca="false">IFERROR(__xludf.dummyfunction("FILTER(FILTER('Data Scenarios 3-4'!$A$2:$BX$105,'Data Scenarios 3-4'!$A$1:$BX$1=""V_LAPTOP_4_OUTPUT""),'Data Scenarios 3-4'!$B$2:$B$105=$A8,'Data Scenarios 3-4'!$C$2:$C$105=""All"",'Data Scenarios 3-4'!$D$2:$D$105=""Mean"")"),18.5947567777777)</f>
        <v>18.5947567777777</v>
      </c>
      <c r="G8" s="3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3-4'!$D$2:$D$105=""Mean"")"),0.00367603793915756)</f>
        <v>0.00367603793915756</v>
      </c>
      <c r="H8" s="38" t="n">
        <f aca="false">IFERROR(__xludf.dummyfunction("FILTER(FILTER('Data Scenarios 3-4'!$A$2:$BX$105,'Data Scenarios 3-4'!$A$1:$BX$1=""P_LAPTOP_4_OUTPUT""),'Data Scenarios 3-4'!$B$2:$B$105=$A8,'Data Scenarios 3-4'!$C$2:$C$105=""All"",'Data Scenarios 3-4'!$D$2:$D$105=""Mean"")"),0.0683550322628741)</f>
        <v>0.0683550322628741</v>
      </c>
      <c r="I8" s="39" t="n">
        <v>0</v>
      </c>
      <c r="J8" s="38" t="n">
        <f aca="false">IFERROR(__xludf.dummyfunction("FILTER(FILTER('Data Scenarios 3-4'!$A$2:$BX$105,'Data Scenarios 3-4'!$A$1:$BX$1=""V_LAPTOP_5_OUTPUT""),'Data Scenarios 3-4'!$B$2:$B$105=$A8,'Data Scenarios 3-4'!$C$2:$C$105=""All"",'Data Scenarios 3-4'!$D$2:$D$105=""Mean"")"),18.6991230277777)</f>
        <v>18.6991230277777</v>
      </c>
      <c r="K8" s="3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3-4'!$D$2:$D$105=""Mean"")"),0.00997038316849256)</f>
        <v>0.00997038316849256</v>
      </c>
      <c r="L8" s="38" t="n">
        <f aca="false">IFERROR(__xludf.dummyfunction("FILTER(FILTER('Data Scenarios 3-4'!$A$2:$BX$105,'Data Scenarios 3-4'!$A$1:$BX$1=""P_LAPTOP_5_OUTPUT""),'Data Scenarios 3-4'!$B$2:$B$105=$A8,'Data Scenarios 3-4'!$C$2:$C$105=""All"",'Data Scenarios 3-4'!$D$2:$D$105=""Mean"")"),0.18643742547025)</f>
        <v>0.18643742547025</v>
      </c>
      <c r="M8" s="39" t="n">
        <v>0</v>
      </c>
      <c r="N8" s="38" t="n">
        <f aca="false">IFERROR(__xludf.dummyfunction("FILTER(FILTER('Data Scenarios 3-4'!$A$2:$BX$105,'Data Scenarios 3-4'!$A$1:$BX$1=""V_LED_1""),'Data Scenarios 3-4'!$B$2:$B$105=$A8,'Data Scenarios 3-4'!$C$2:$C$105=""All"",'Data Scenarios 3-4'!$D$2:$D$105=""Mean"")"),24.2653374666666)</f>
        <v>24.2653374666666</v>
      </c>
      <c r="O8" s="38" t="n">
        <f aca="false">IFERROR(__xludf.dummyfunction("FILTER(FILTER('Data Scenarios 3-4'!$A$2:$BX$105,'Data Scenarios 3-4'!$A$1:$BX$1=""I_LED_1""),'Data Scenarios 3-4'!$B$2:$B$105=$A8,'Data Scenarios 3-4'!$C$2:$C$105=""All"",'Data Scenarios 3-4'!$D$2:$D$105=""Mean"")"),0.0409187259033546)</f>
        <v>0.0409187259033546</v>
      </c>
      <c r="P8" s="65" t="n">
        <f aca="false">IFERROR(__xludf.dummyfunction("FILTER(FILTER('Data Scenarios 3-4'!$A$2:$BX$105,'Data Scenarios 3-4'!$A$1:$BX$1=""P_LED_1""),'Data Scenarios 3-4'!$B$2:$B$105=$A8,'Data Scenarios 3-4'!$C$2:$C$105=""All"",'Data Scenarios 3-4'!$D$2:$D$105=""Mean"")"),0.992906718999524)</f>
        <v>0.992906718999524</v>
      </c>
      <c r="Q8" s="39" t="n">
        <v>0</v>
      </c>
      <c r="R8" s="38" t="n">
        <f aca="false">IFERROR(__xludf.dummyfunction("FILTER(FILTER('Data Scenarios 3-4'!$A$2:$BX$105,'Data Scenarios 3-4'!$A$1:$BX$1=""V_LED_2""),'Data Scenarios 3-4'!$B$2:$B$105=$A8,'Data Scenarios 3-4'!$C$2:$C$105=""All"",'Data Scenarios 3-4'!$D$2:$D$105=""Mean"")"),24.2238054222222)</f>
        <v>24.2238054222222</v>
      </c>
      <c r="S8" s="38" t="n">
        <f aca="false">IFERROR(__xludf.dummyfunction("FILTER(FILTER('Data Scenarios 3-4'!$A$2:$BX$105,'Data Scenarios 3-4'!$A$1:$BX$1=""I_LED_2""),'Data Scenarios 3-4'!$B$2:$B$105=$A8,'Data Scenarios 3-4'!$C$2:$C$105=""All"",'Data Scenarios 3-4'!$D$2:$D$105=""Mean"")"),0.0217317969906739)</f>
        <v>0.0217317969906739</v>
      </c>
      <c r="T8" s="65" t="n">
        <f aca="false">IFERROR(__xludf.dummyfunction("FILTER(FILTER('Data Scenarios 3-4'!$A$2:$BX$105,'Data Scenarios 3-4'!$A$1:$BX$1=""P_LED_2""),'Data Scenarios 3-4'!$B$2:$B$105=$A8,'Data Scenarios 3-4'!$C$2:$C$105=""All"",'Data Scenarios 3-4'!$D$2:$D$105=""Mean"")"),0.526426799023746)</f>
        <v>0.526426799023746</v>
      </c>
      <c r="U8" s="39" t="n">
        <v>0</v>
      </c>
      <c r="V8" s="38" t="n">
        <f aca="false">IFERROR(__xludf.dummyfunction("FILTER(FILTER('Data Scenarios 3-4'!$A$2:$BX$105,'Data Scenarios 3-4'!$A$1:$BX$1=""V_LED_3""),'Data Scenarios 3-4'!$B$2:$B$105=$A8,'Data Scenarios 3-4'!$C$2:$C$105=""All"",'Data Scenarios 3-4'!$D$2:$D$105=""Mean"")"),24.2291867972222)</f>
        <v>24.2291867972222</v>
      </c>
      <c r="W8" s="38" t="n">
        <f aca="false">IFERROR(__xludf.dummyfunction("FILTER(FILTER('Data Scenarios 3-4'!$A$2:$BX$105,'Data Scenarios 3-4'!$A$1:$BX$1=""I_LED_3""),'Data Scenarios 3-4'!$B$2:$B$105=$A8,'Data Scenarios 3-4'!$C$2:$C$105=""All"",'Data Scenarios 3-4'!$D$2:$D$105=""Mean"")"),0.04156275894285)</f>
        <v>0.04156275894285</v>
      </c>
      <c r="X8" s="65" t="n">
        <f aca="false">IFERROR(__xludf.dummyfunction("FILTER(FILTER('Data Scenarios 3-4'!$A$2:$BX$105,'Data Scenarios 3-4'!$A$1:$BX$1=""P_LED_3""),'Data Scenarios 3-4'!$B$2:$B$105=$A8,'Data Scenarios 3-4'!$C$2:$C$105=""All"",'Data Scenarios 3-4'!$D$2:$D$105=""Mean"")"),1.00703187018109)</f>
        <v>1.00703187018109</v>
      </c>
      <c r="Y8" s="39" t="n">
        <v>0</v>
      </c>
      <c r="Z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A8" s="112" t="n">
        <v>0</v>
      </c>
      <c r="AB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3-4'!$D$2:$D$105=""Mean"")"),0)</f>
        <v>0</v>
      </c>
      <c r="AC8" s="113" t="n">
        <f aca="false">Z8^2*AA8</f>
        <v>0</v>
      </c>
      <c r="AD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E8" s="112" t="n">
        <v>0</v>
      </c>
      <c r="AF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3-4'!$D$2:$D$105=""Mean"")"),0)</f>
        <v>0</v>
      </c>
      <c r="AG8" s="113" t="n">
        <f aca="false">AD8^2*AE8</f>
        <v>0</v>
      </c>
      <c r="AH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I8" s="112" t="n">
        <v>0</v>
      </c>
      <c r="AJ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3-4'!$D$2:$D$105=""Mean"")"),0)</f>
        <v>0</v>
      </c>
      <c r="AK8" s="113" t="n">
        <f aca="false">AH8^2*AI8</f>
        <v>0</v>
      </c>
      <c r="AL8" s="111" t="n">
        <f aca="false">IFERROR(__xludf.dummyfunction("FILTER(FILTER('Data Scenarios 3-4'!$A$2:$BX$105,'Data Scenarios 3-4'!$A$1:$BX$1=""V_an""),'Data Scenarios 3-4'!$B$2:$B$105=$A8,'Data Scenarios 3-4'!$C$2:$C$105=""All"",'Data Scenarios 3-4'!$D$2:$D$105=""Mean"")"),122.986594444444)</f>
        <v>122.986594444444</v>
      </c>
      <c r="AM8" s="112" t="n">
        <v>0</v>
      </c>
      <c r="AN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3-4'!$D$2:$D$105=""Mean"")"),0)</f>
        <v>0</v>
      </c>
      <c r="AO8" s="113" t="n">
        <f aca="false">AL8^2*AM8</f>
        <v>0</v>
      </c>
      <c r="AP8" s="111" t="n">
        <f aca="false">IFERROR(__xludf.dummyfunction("FILTER(FILTER('Data Scenarios 3-4'!$A$2:$BX$105,'Data Scenarios 3-4'!$A$1:$BX$1=""V_bn""),'Data Scenarios 3-4'!$B$2:$B$105=$A8,'Data Scenarios 3-4'!$C$2:$C$105=""All"",'Data Scenarios 3-4'!$D$2:$D$105=""Mean"")"),122.730836944444)</f>
        <v>122.730836944444</v>
      </c>
      <c r="AQ8" s="112" t="n">
        <v>0</v>
      </c>
      <c r="AR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3-4'!$D$2:$D$105=""Mean"")"),0)</f>
        <v>0</v>
      </c>
      <c r="AS8" s="113" t="n">
        <f aca="false">AP8^2*AQ8</f>
        <v>0</v>
      </c>
      <c r="AT8" s="111" t="n">
        <f aca="false">IFERROR(__xludf.dummyfunction("FILTER(FILTER('Data Scenarios 3-4'!$A$2:$BX$105,'Data Scenarios 3-4'!$A$1:$BX$1=""V_cn""),'Data Scenarios 3-4'!$B$2:$B$105=$A8,'Data Scenarios 3-4'!$C$2:$C$105=""All"",'Data Scenarios 3-4'!$D$2:$D$105=""Mean"")"),122.961533333333)</f>
        <v>122.961533333333</v>
      </c>
      <c r="AU8" s="112" t="n">
        <v>0</v>
      </c>
      <c r="AV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3-4'!$D$2:$D$105=""Mean"")"),0)</f>
        <v>0</v>
      </c>
      <c r="AW8" s="113" t="n">
        <f aca="false">AT8^2*AU8</f>
        <v>0</v>
      </c>
      <c r="AX8" s="44" t="n">
        <f aca="false">IFERROR(__xludf.dummyfunction("FILTER(FILTER('Data Scenarios 3-4'!$A$2:$BX$105,'Data Scenarios 3-4'!$A$1:$BX$1=""P_In""),'Data Scenarios 3-4'!$B$2:$B$105=$A8,'Data Scenarios 3-4'!$C$2:$C$105=""All"",'Data Scenarios 3-4'!$D$2:$D$105=""Mean"")"),56.7943579444444)</f>
        <v>56.7943579444444</v>
      </c>
      <c r="AY8" s="74" t="n">
        <f aca="false">IFERROR(__xludf.dummyfunction("FILTER(FILTER('Data Scenarios 3-4'!$A$2:$BX$105,'Data Scenarios 3-4'!$A$1:$BX$1=""P_Secondary""),'Data Scenarios 3-4'!$B$2:$B$105=$A8,'Data Scenarios 3-4'!$C$2:$C$105=""All"",'Data Scenarios 3-4'!$D$2:$D$105=""Mean"")"),5.27520398333333)</f>
        <v>5.27520398333333</v>
      </c>
      <c r="AZ8" s="59" t="n">
        <f aca="false">IFERROR(__xludf.dummyfunction("FILTER(FILTER('Data Scenarios 3-4'!$A$2:$BX$105,'Data Scenarios 3-4'!$A$1:$BX$1=""P_Out""),'Data Scenarios 3-4'!$B$2:$B$105=$A8,'Data Scenarios 3-4'!$C$2:$C$105=""All"",'Data Scenarios 3-4'!$D$2:$D$105=""Mean"")"),2.83305467517935)</f>
        <v>2.83305467517935</v>
      </c>
      <c r="BA8" s="114" t="n">
        <f aca="false">E8+I8+M8+Q8+U8+Y8+AC8+AG8+AK8+AO8+AS8+AW8</f>
        <v>0</v>
      </c>
      <c r="BB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BC8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BD8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BE8" s="54" t="n">
        <f aca="false">IFERROR(__xludf.dummyfunction("FILTER(FILTER('Data Scenarios 3-4'!$A$2:$BX$105,'Data Scenarios 3-4'!$A$1:$BX$1=""V_LAPTOP_3_OUTPUT""),'Data Scenarios 3-4'!$B$2:$B$105=$A8,'Data Scenarios 3-4'!$C$2:$C$105=""All"",'Data Scenarios 3-4'!$D$2:$D$105=""Standard Deviation"")"),0.000120816608132922)</f>
        <v>0.000120816608132922</v>
      </c>
      <c r="BF8" s="48" t="n">
        <f aca="false">IFERROR(__xludf.dummyfunction("FILTER(FILTER('Data Scenarios 3-4'!$A$2:$BX$105,'Data Scenarios 3-4'!$A$1:$BX$1=""I_LAPTOP_3_OUTPUT""),'Data Scenarios 3-4'!$B$2:$B$105=$A8,'Data Scenarios 3-4'!$C$2:$C$105=""All"",'Data Scenarios 3-4'!$D$2:$D$105=""Standard Deviation"")"),0.0000298686477708115)</f>
        <v>2.98686477708115E-005</v>
      </c>
      <c r="BG8" s="52" t="n">
        <f aca="false">IFERROR(__xludf.dummyfunction("FILTER(FILTER('Data Scenarios 3-4'!$A$2:$BX$105,'Data Scenarios 3-4'!$A$1:$BX$1=""V_LAPTOP_3_OUTPUT * I_LAPTOP_3_OUTPUT""),'Data Scenarios 3-4'!$B$2:$B$105=$A8,'Data Scenarios 3-4'!$C$2:$C$105=""All"",'Data Scenarios 3-4'!$D$2:$D$105=""Covariance"")"),0.00000000130543326644353)</f>
        <v>1.30543326644353E-009</v>
      </c>
      <c r="BH8" s="50" t="n">
        <f aca="false">IFERROR(__xludf.dummyfunction("FILTER(FILTER('Data Scenarios 3-4'!$A$2:$BX$105,'Data Scenarios 3-4'!$A$1:$BX$1=""P_LAPTOP_3_OUTPUT""),'Data Scenarios 3-4'!$B$2:$B$105=$A8,'Data Scenarios 3-4'!$C$2:$C$105=""All"",'Data Scenarios 3-4'!$D$2:$D$105=""Standard Deviation"")"),0.000567199947217228)</f>
        <v>0.000567199947217228</v>
      </c>
      <c r="BI8" s="51" t="n">
        <f aca="false">SQRT(BE8^2*(C8)^2+BF8^2*(B8)^2+2*BG8*(C8)*(B8))</f>
        <v>0.000567198204091982</v>
      </c>
      <c r="BJ8" s="47" t="n">
        <f aca="false">IFERROR(__xludf.dummyfunction("FILTER(FILTER('Data Scenarios 3-4'!$A$2:$BX$105,'Data Scenarios 3-4'!$A$1:$BX$1=""V_LAPTOP_4_OUTPUT""),'Data Scenarios 3-4'!$B$2:$B$105=$A8,'Data Scenarios 3-4'!$C$2:$C$105=""All"",'Data Scenarios 3-4'!$D$2:$D$105=""Standard Deviation"")"),0.000224742592007298)</f>
        <v>0.000224742592007298</v>
      </c>
      <c r="BK8" s="48" t="n">
        <f aca="false">IFERROR(__xludf.dummyfunction("FILTER(FILTER('Data Scenarios 3-4'!$A$2:$BX$105,'Data Scenarios 3-4'!$A$1:$BX$1=""I_LAPTOP_4_OUTPUT""),'Data Scenarios 3-4'!$B$2:$B$105=$A8,'Data Scenarios 3-4'!$C$2:$C$105=""All"",'Data Scenarios 3-4'!$D$2:$D$105=""Standard Deviation"")"),0.0000229655574671755)</f>
        <v>2.29655574671755E-005</v>
      </c>
      <c r="BL8" s="81" t="n">
        <f aca="false">IFERROR(__xludf.dummyfunction("FILTER(FILTER('Data Scenarios 3-4'!$A$2:$BX$105,'Data Scenarios 3-4'!$A$1:$BX$1=""V_LAPTOP_4_OUTPUT * I_LAPTOP_4_OUTPUT""),'Data Scenarios 3-4'!$B$2:$B$105=$A8,'Data Scenarios 3-4'!$C$2:$C$105=""All"",'Data Scenarios 3-4'!$D$2:$D$105=""Covariance"")"),-0.0000000005245536715751)</f>
        <v>-5.245536715751E-010</v>
      </c>
      <c r="BM8" s="50" t="n">
        <f aca="false">IFERROR(__xludf.dummyfunction("FILTER(FILTER('Data Scenarios 3-4'!$A$2:$BX$105,'Data Scenarios 3-4'!$A$1:$BX$1=""P_LAPTOP_4_OUTPUT""),'Data Scenarios 3-4'!$B$2:$B$105=$A8,'Data Scenarios 3-4'!$C$2:$C$105=""All"",'Data Scenarios 3-4'!$D$2:$D$105=""Standard Deviation"")"),0.00042695788303769)</f>
        <v>0.00042695788303769</v>
      </c>
      <c r="BN8" s="51" t="n">
        <f aca="false">SQRT(BJ8^2*(G8)^2+BK8^2*(F8)^2+2*BL8*(G8)*(F8))</f>
        <v>0.000426955782465513</v>
      </c>
      <c r="BO8" s="47" t="n">
        <f aca="false">IFERROR(__xludf.dummyfunction("FILTER(FILTER('Data Scenarios 3-4'!$A$2:$BX$105,'Data Scenarios 3-4'!$A$1:$BX$1=""V_LAPTOP_5_OUTPUT""),'Data Scenarios 3-4'!$B$2:$B$105=$A8,'Data Scenarios 3-4'!$C$2:$C$105=""All"",'Data Scenarios 3-4'!$D$2:$D$105=""Standard Deviation"")"),0.000146265129875632)</f>
        <v>0.000146265129875632</v>
      </c>
      <c r="BP8" s="48" t="n">
        <f aca="false">IFERROR(__xludf.dummyfunction("FILTER(FILTER('Data Scenarios 3-4'!$A$2:$BX$105,'Data Scenarios 3-4'!$A$1:$BX$1=""I_LAPTOP_5_OUTPUT""),'Data Scenarios 3-4'!$B$2:$B$105=$A8,'Data Scenarios 3-4'!$C$2:$C$105=""All"",'Data Scenarios 3-4'!$D$2:$D$105=""Standard Deviation"")"),0.000132429183900311)</f>
        <v>0.000132429183900311</v>
      </c>
      <c r="BQ8" s="52" t="n">
        <f aca="false">IFERROR(__xludf.dummyfunction("FILTER(FILTER('Data Scenarios 3-4'!$A$2:$BX$105,'Data Scenarios 3-4'!$A$1:$BX$1=""V_LAPTOP_5_OUTPUT * I_LAPTOP_5_OUTPUT""),'Data Scenarios 3-4'!$B$2:$B$105=$A8,'Data Scenarios 3-4'!$C$2:$C$105=""All"",'Data Scenarios 3-4'!$D$2:$D$105=""Covariance"")"),0.00000000652412786019114)</f>
        <v>6.52412786019114E-009</v>
      </c>
      <c r="BR8" s="50" t="n">
        <f aca="false">IFERROR(__xludf.dummyfunction("FILTER(FILTER('Data Scenarios 3-4'!$A$2:$BX$105,'Data Scenarios 3-4'!$A$1:$BX$1=""P_LAPTOP_5_OUTPUT""),'Data Scenarios 3-4'!$B$2:$B$105=$A8,'Data Scenarios 3-4'!$C$2:$C$105=""All"",'Data Scenarios 3-4'!$D$2:$D$105=""Standard Deviation"")"),0.00247680710435129)</f>
        <v>0.00247680710435129</v>
      </c>
      <c r="BS8" s="51" t="n">
        <f aca="false">SQRT(BO8^2*(K8)^2+BP8^2*(J8)^2+2*BQ8*(K8)*(J8))</f>
        <v>0.00247680117407405</v>
      </c>
      <c r="BT8" s="54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BU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BV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BW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BX8" s="51" t="n">
        <f aca="false">SQRT(BT8^2*(O8)^2+BU8^2*(N8)^2+2*BV8*(O8)*(N8))</f>
        <v>0.00265004479451657</v>
      </c>
      <c r="BY8" s="54" t="n">
        <f aca="false">IFERROR(__xludf.dummyfunction("FILTER(FILTER('Data Scenarios 3-4'!$A$2:$BX$105,'Data Scenarios 3-4'!$A$1:$BX$1=""V_LED_2""),'Data Scenarios 3-4'!$B$2:$B$105=$A8,'Data Scenarios 3-4'!$C$2:$C$105=""All"",'Data Scenarios 3-4'!$D$2:$D$105=""Standard Deviation"")"),0.000212830052560998)</f>
        <v>0.000212830052560998</v>
      </c>
      <c r="BZ8" s="48" t="n">
        <f aca="false">IFERROR(__xludf.dummyfunction("FILTER(FILTER('Data Scenarios 3-4'!$A$2:$BX$105,'Data Scenarios 3-4'!$A$1:$BX$1=""I_LED_2""),'Data Scenarios 3-4'!$B$2:$B$105=$A8,'Data Scenarios 3-4'!$C$2:$C$105=""All"",'Data Scenarios 3-4'!$D$2:$D$105=""Standard Deviation"")"),0.000192304123036048)</f>
        <v>0.000192304123036048</v>
      </c>
      <c r="CA8" s="52" t="n">
        <f aca="false">IFERROR(__xludf.dummyfunction("FILTER(FILTER('Data Scenarios 3-4'!$A$2:$BX$105,'Data Scenarios 3-4'!$A$1:$BX$1=""V_LED_2 * I_LED_2""),'Data Scenarios 3-4'!$B$2:$B$105=$A8,'Data Scenarios 3-4'!$C$2:$C$105=""All"",'Data Scenarios 3-4'!$D$2:$D$105=""Covariance"")"),-0.0000000295854317705591)</f>
        <v>-2.95854317705591E-008</v>
      </c>
      <c r="CB8" s="50" t="n">
        <f aca="false">IFERROR(__xludf.dummyfunction("FILTER(FILTER('Data Scenarios 3-4'!$A$2:$BX$105,'Data Scenarios 3-4'!$A$1:$BX$1=""P_LED_2""),'Data Scenarios 3-4'!$B$2:$B$105=$A8,'Data Scenarios 3-4'!$C$2:$C$105=""All"",'Data Scenarios 3-4'!$D$2:$D$105=""Standard Deviation"")"),0.00465494416538987)</f>
        <v>0.00465494416538987</v>
      </c>
      <c r="CC8" s="51" t="n">
        <f aca="false">SQRT(BY8^2*(S8)^2+BZ8^2*(R8)^2+2*CA8*(S8)*(R8))</f>
        <v>0.00465499538147327</v>
      </c>
      <c r="CD8" s="47" t="n">
        <f aca="false">IFERROR(__xludf.dummyfunction("FILTER(FILTER('Data Scenarios 3-4'!$A$2:$BX$105,'Data Scenarios 3-4'!$A$1:$BX$1=""V_LED_1""),'Data Scenarios 3-4'!$B$2:$B$105=$A8,'Data Scenarios 3-4'!$C$2:$C$105=""All"",'Data Scenarios 3-4'!$D$2:$D$105=""Standard Deviation"")"),0.000110553958356988)</f>
        <v>0.000110553958356988</v>
      </c>
      <c r="CE8" s="70" t="n">
        <f aca="false">IFERROR(__xludf.dummyfunction("FILTER(FILTER('Data Scenarios 3-4'!$A$2:$BX$105,'Data Scenarios 3-4'!$A$1:$BX$1=""I_LED_1""),'Data Scenarios 3-4'!$B$2:$B$105=$A8,'Data Scenarios 3-4'!$C$2:$C$105=""All"",'Data Scenarios 3-4'!$D$2:$D$105=""Standard Deviation"")"),0.000109037950522849)</f>
        <v>0.000109037950522849</v>
      </c>
      <c r="CF8" s="52" t="n">
        <f aca="false">IFERROR(__xludf.dummyfunction("FILTER(FILTER('Data Scenarios 3-4'!$A$2:$BX$105,'Data Scenarios 3-4'!$A$1:$BX$1=""V_LED_1 * I_LED_1""),'Data Scenarios 3-4'!$B$2:$B$105=$A8,'Data Scenarios 3-4'!$C$2:$C$105=""All"",'Data Scenarios 3-4'!$D$2:$D$105=""Covariance"")"),0.0000000111961854967056)</f>
        <v>1.11961854967056E-008</v>
      </c>
      <c r="CG8" s="50" t="n">
        <f aca="false">IFERROR(__xludf.dummyfunction("FILTER(FILTER('Data Scenarios 3-4'!$A$2:$BX$105,'Data Scenarios 3-4'!$A$1:$BX$1=""P_LED_1""),'Data Scenarios 3-4'!$B$2:$B$105=$A8,'Data Scenarios 3-4'!$C$2:$C$105=""All"",'Data Scenarios 3-4'!$D$2:$D$105=""Standard Deviation"")"),0.00265003170375399)</f>
        <v>0.00265003170375399</v>
      </c>
      <c r="CH8" s="51" t="n">
        <f aca="false">SQRT(CD8^2*(W8)^2+CE8^2*(V8)^2+2*CF8*(W8)*(V8))</f>
        <v>0.00264616914754556</v>
      </c>
      <c r="CI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J8" s="116" t="n">
        <v>0</v>
      </c>
      <c r="CK8" s="41" t="n">
        <f aca="false">IFERROR(__xludf.dummyfunction("FILTER(FILTER('Data Scenarios 3-4'!$A$2:$BX$105,'Data Scenarios 3-4'!$A$1:$BX$1=""P_HEATER_1_A""),'Data Scenarios 3-4'!$B$2:$B$105=$A8,'Data Scenarios 3-4'!$C$2:$C$105=""All"",'Data Scenarios 3-4'!$D$2:$D$105=""Standard Deviation"")"),0)</f>
        <v>0</v>
      </c>
      <c r="CL8" s="117" t="n">
        <f aca="false">SQRT(CI8^2*(2*Z8*AA8)^2+CJ8^2*(Z8^2)^2)</f>
        <v>0</v>
      </c>
      <c r="CM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N8" s="116" t="n">
        <v>0</v>
      </c>
      <c r="CO8" s="41" t="n">
        <f aca="false">IFERROR(__xludf.dummyfunction("FILTER(FILTER('Data Scenarios 3-4'!$A$2:$BX$105,'Data Scenarios 3-4'!$A$1:$BX$1=""P_HEATER_1_B""),'Data Scenarios 3-4'!$B$2:$B$105=$A8,'Data Scenarios 3-4'!$C$2:$C$105=""All"",'Data Scenarios 3-4'!$D$2:$D$105=""Standard Deviation"")"),0)</f>
        <v>0</v>
      </c>
      <c r="CP8" s="117" t="n">
        <f aca="false">SQRT(CM8^2*(2*AD8*AE8)^2+CN8^2*(AD8^2)^2)</f>
        <v>0</v>
      </c>
      <c r="CQ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CR8" s="116" t="n">
        <v>0</v>
      </c>
      <c r="CS8" s="41" t="n">
        <f aca="false">IFERROR(__xludf.dummyfunction("FILTER(FILTER('Data Scenarios 3-4'!$A$2:$BX$105,'Data Scenarios 3-4'!$A$1:$BX$1=""P_HEATER_1_C""),'Data Scenarios 3-4'!$B$2:$B$105=$A8,'Data Scenarios 3-4'!$C$2:$C$105=""All"",'Data Scenarios 3-4'!$D$2:$D$105=""Standard Deviation"")"),0)</f>
        <v>0</v>
      </c>
      <c r="CT8" s="117" t="n">
        <f aca="false">SQRT(CQ8^2*(2*AH8*AI8)^2+CR8^2*(AH8^2)^2)</f>
        <v>0</v>
      </c>
      <c r="CU8" s="115" t="n">
        <f aca="false">IFERROR(__xludf.dummyfunction("FILTER(FILTER('Data Scenarios 3-4'!$A$2:$BX$105,'Data Scenarios 3-4'!$A$1:$BX$1=""V_an""),'Data Scenarios 3-4'!$B$2:$B$105=$A8,'Data Scenarios 3-4'!$C$2:$C$105=""All"",'Data Scenarios 3-4'!$D$2:$D$105=""Standard Deviation"")"),0.0396568226784912)</f>
        <v>0.0396568226784912</v>
      </c>
      <c r="CV8" s="116" t="n">
        <v>0</v>
      </c>
      <c r="CW8" s="41" t="n">
        <f aca="false">IFERROR(__xludf.dummyfunction("FILTER(FILTER('Data Scenarios 3-4'!$A$2:$BX$105,'Data Scenarios 3-4'!$A$1:$BX$1=""P_HEATER_2_A""),'Data Scenarios 3-4'!$B$2:$B$105=$A8,'Data Scenarios 3-4'!$C$2:$C$105=""All"",'Data Scenarios 3-4'!$D$2:$D$105=""Standard Deviation"")"),0)</f>
        <v>0</v>
      </c>
      <c r="CX8" s="117" t="n">
        <f aca="false">SQRT(CU8^2*(2*AL8*AM8)^2+CV8^2*(AL8^2)^2)</f>
        <v>0</v>
      </c>
      <c r="CY8" s="115" t="n">
        <f aca="false">IFERROR(__xludf.dummyfunction("FILTER(FILTER('Data Scenarios 3-4'!$A$2:$BX$105,'Data Scenarios 3-4'!$A$1:$BX$1=""V_bn""),'Data Scenarios 3-4'!$B$2:$B$105=$A8,'Data Scenarios 3-4'!$C$2:$C$105=""All"",'Data Scenarios 3-4'!$D$2:$D$105=""Standard Deviation"")"),0.016779336919369)</f>
        <v>0.016779336919369</v>
      </c>
      <c r="CZ8" s="116" t="n">
        <v>0</v>
      </c>
      <c r="DA8" s="41" t="n">
        <f aca="false">IFERROR(__xludf.dummyfunction("FILTER(FILTER('Data Scenarios 3-4'!$A$2:$BX$105,'Data Scenarios 3-4'!$A$1:$BX$1=""P_HEATER_2_B""),'Data Scenarios 3-4'!$B$2:$B$105=$A8,'Data Scenarios 3-4'!$C$2:$C$105=""All"",'Data Scenarios 3-4'!$D$2:$D$105=""Standard Deviation"")"),0)</f>
        <v>0</v>
      </c>
      <c r="DB8" s="117" t="n">
        <f aca="false">SQRT(CY8^2*(2*AP8*AQ8)^2+CZ8^2*(AP8^2)^2)</f>
        <v>0</v>
      </c>
      <c r="DC8" s="115" t="n">
        <f aca="false">IFERROR(__xludf.dummyfunction("FILTER(FILTER('Data Scenarios 3-4'!$A$2:$BX$105,'Data Scenarios 3-4'!$A$1:$BX$1=""V_cn""),'Data Scenarios 3-4'!$B$2:$B$105=$A8,'Data Scenarios 3-4'!$C$2:$C$105=""All"",'Data Scenarios 3-4'!$D$2:$D$105=""Standard Deviation"")"),0.0136287368983485)</f>
        <v>0.0136287368983485</v>
      </c>
      <c r="DD8" s="116" t="n">
        <v>0</v>
      </c>
      <c r="DE8" s="41" t="n">
        <f aca="false">IFERROR(__xludf.dummyfunction("FILTER(FILTER('Data Scenarios 3-4'!$A$2:$BX$105,'Data Scenarios 3-4'!$A$1:$BX$1=""P_HEATER_2_C""),'Data Scenarios 3-4'!$B$2:$B$105=$A8,'Data Scenarios 3-4'!$C$2:$C$105=""All"",'Data Scenarios 3-4'!$D$2:$D$105=""Standard Deviation"")"),0)</f>
        <v>0</v>
      </c>
      <c r="DF8" s="117" t="n">
        <f aca="false">SQRT(DC8^2*(2*AT8*AU8)^2+DD8^2*(AT8^2)^2)</f>
        <v>0</v>
      </c>
      <c r="DG8" s="58" t="n">
        <f aca="false">IFERROR(__xludf.dummyfunction("FILTER(FILTER('Data Scenarios 3-4'!$A$2:$BX$105,'Data Scenarios 3-4'!$A$1:$BX$1=""P_In""),'Data Scenarios 3-4'!$B$2:$B$105=$A8,'Data Scenarios 3-4'!$C$2:$C$105=""All"",'Data Scenarios 3-4'!$D$2:$D$105=""Standard Deviation"")"),0.0366490708545557)</f>
        <v>0.0366490708545557</v>
      </c>
      <c r="DH8" s="118" t="n">
        <f aca="false">IFERROR(__xludf.dummyfunction("FILTER(FILTER('Data Scenarios 3-4'!$A$2:$BX$105,'Data Scenarios 3-4'!$A$1:$BX$1=""P_Secondary""),'Data Scenarios 3-4'!$B$2:$B$105=$A8,'Data Scenarios 3-4'!$C$2:$C$105=""All"",'Data Scenarios 3-4'!$D$2:$D$105=""Standard Deviation"")"),0.00625498020649243)</f>
        <v>0.00625498020649243</v>
      </c>
      <c r="DI8" s="54" t="n">
        <f aca="false">IFERROR(__xludf.dummyfunction("FILTER(FILTER('Data Scenarios 3-4'!$A$2:$BX$105,'Data Scenarios 3-4'!$A$1:$BX$1=""P_Out""),'Data Scenarios 3-4'!$B$2:$B$105=$A8,'Data Scenarios 3-4'!$C$2:$C$105=""All"",'Data Scenarios 3-4'!$D$2:$D$105=""Standard Deviation"")"),0.000429599681105066)</f>
        <v>0.000429599681105066</v>
      </c>
      <c r="DJ8" s="60" t="n">
        <f aca="false">SQRT(BH8^2+BM8^2+BR8^2+BW8^2+CB8^2+CG8^2+CK8^2+CO8^2+CS8^2+CW8^2+DA8^2+DE8^2)</f>
        <v>0.00650787396089353</v>
      </c>
      <c r="DK8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3-4'!$D$2:$D$105=""Standard Deviation"")"),0.0342455168151178)</f>
        <v>0.0342455168151178</v>
      </c>
      <c r="DL8" s="50" t="n">
        <f aca="false">IFERROR(__xludf.dummyfunction("FILTER(FILTER('Data Scenarios 3-4'!$A$2:$BX$105,'Data Scenarios 3-4'!$A$1:$BX$1=""P_ConverterLoss""),'Data Scenarios 3-4'!$B$2:$B$105=$A8,'Data Scenarios 3-4'!$C$2:$C$105=""All"",'Data Scenarios 3-4'!$D$2:$D$105=""Standard Deviation"")"),0.00662675972993242)</f>
        <v>0.00662675972993242</v>
      </c>
      <c r="DM8" s="60" t="n">
        <f aca="false">SQRT(DH8^2+MAX(DI8:DJ8)^2)</f>
        <v>0.00902647222753652</v>
      </c>
      <c r="DN8" s="38" t="n">
        <f aca="false">IFERROR(__xludf.dummyfunction("FILTER(FILTER('Data Scenarios 3-4'!$A$2:$BX$105,'Data Scenarios 3-4'!$A$1:$BX$1=""P_SystemLoss""),'Data Scenarios 3-4'!$B$2:$B$105=$A8,'Data Scenarios 3-4'!$C$2:$C$105=""All"",'Data Scenarios 3-4'!$D$2:$D$105=""Standard Deviation"")"),0.0370150167324865)</f>
        <v>0.0370150167324865</v>
      </c>
      <c r="DO8" s="61" t="n">
        <f aca="false">SQRT(DG8^2+MAX(DI8:DJ8)^2)</f>
        <v>0.037222396725535</v>
      </c>
      <c r="DP8" s="119" t="n">
        <v>56.1859107965601</v>
      </c>
      <c r="DQ8" s="120" t="n">
        <v>8.15271201884622</v>
      </c>
      <c r="DR8" s="120" t="n">
        <v>48.0331987777139</v>
      </c>
      <c r="DS8" s="120" t="n">
        <v>5.32071201884622</v>
      </c>
      <c r="DT8" s="120" t="n">
        <v>53.3539107965601</v>
      </c>
      <c r="DU8" s="121" t="n">
        <f aca="false">DP8-AX8</f>
        <v>-0.608447147884299</v>
      </c>
      <c r="DV8" s="65" t="n">
        <f aca="false">TINV(0.1,2)*DG8/SQRT(3)</f>
        <v>0.0617849995860523</v>
      </c>
      <c r="DW8" s="66" t="n">
        <f aca="false">DU8/AX8</f>
        <v>-0.010713161833425</v>
      </c>
      <c r="DX8" s="67" t="n">
        <f aca="false">DV8/AX8</f>
        <v>0.00108787213769526</v>
      </c>
      <c r="DY8" s="45" t="n">
        <f aca="false">DQ8-AY8</f>
        <v>2.87750803551289</v>
      </c>
      <c r="DZ8" s="65" t="n">
        <f aca="false">TINV(0.1,2)*DH8/SQRT(3)</f>
        <v>0.0105449862836253</v>
      </c>
      <c r="EA8" s="66" t="n">
        <f aca="false">DY8/AY8</f>
        <v>0.545478060109939</v>
      </c>
      <c r="EB8" s="67" t="n">
        <f aca="false">DZ8/AY8</f>
        <v>0.00199897223253195</v>
      </c>
      <c r="EC8" s="45" t="n">
        <f aca="false">DR8-BB8</f>
        <v>-3.4859551833972</v>
      </c>
      <c r="ED8" s="65" t="n">
        <f aca="false">TINV(0.1,2)*DK8/SQRT(3)</f>
        <v>0.057732957286779</v>
      </c>
      <c r="EE8" s="66" t="n">
        <f aca="false">EC8/BB8</f>
        <v>-0.0676632847276287</v>
      </c>
      <c r="EF8" s="67" t="n">
        <f aca="false">ED8/BB8</f>
        <v>0.00112061151723024</v>
      </c>
      <c r="EG8" s="45" t="n">
        <f aca="false">DS8-BC8</f>
        <v>2.87856271069225</v>
      </c>
      <c r="EH8" s="65" t="n">
        <f aca="false">TINV(0.1,2)*DL8/SQRT(3)</f>
        <v>0.0111717524516682</v>
      </c>
      <c r="EI8" s="66" t="n">
        <f aca="false">EG8/BC8</f>
        <v>1.17870054098706</v>
      </c>
      <c r="EJ8" s="66" t="n">
        <f aca="false">EH8/BC8</f>
        <v>0.00457455750734296</v>
      </c>
      <c r="EK8" s="45" t="n">
        <f aca="false">DT8-BD8</f>
        <v>-0.607392472704902</v>
      </c>
      <c r="EL8" s="65" t="n">
        <f aca="false">TINV(0.1,2)*DN8/SQRT(3)</f>
        <v>0.0624019310767905</v>
      </c>
      <c r="EM8" s="66" t="n">
        <f aca="false">EK8/BD8</f>
        <v>-0.0112560749260268</v>
      </c>
      <c r="EN8" s="66" t="n">
        <f aca="false">EL8/BD8</f>
        <v>0.00115642001390158</v>
      </c>
    </row>
    <row r="9" customFormat="false" ht="12.8" hidden="false" customHeight="false" outlineLevel="0" collapsed="false">
      <c r="A9" s="37" t="n">
        <v>4.2</v>
      </c>
      <c r="B9" s="38" t="n">
        <f aca="false">IFERROR(__xludf.dummyfunction("FILTER(FILTER('Data Scenarios 3-4'!$A$2:$BX$105,'Data Scenarios 3-4'!$A$1:$BX$1=""V_LAPTOP_3_OUTPUT""),'Data Scenarios 3-4'!$B$2:$B$105=$A9,'Data Scenarios 3-4'!$C$2:$C$105=""All"",'Data Scenarios 3-4'!$D$2:$D$105=""Mean"")"),18.2069431305555)</f>
        <v>18.2069431305555</v>
      </c>
      <c r="C9" s="65" t="n">
        <f aca="false">IFERROR(__xludf.dummyfunction("FILTER(FILTER('Data Scenarios 3-4'!$A$2:$BX$105,'Data Scenarios 3-4'!$A$1:$BX$1=""I_LAPTOP_3_OUTPUT""),'Data Scenarios 3-4'!$B$2:$B$105=$A9,'Data Scenarios 3-4'!$C$2:$C$105=""All"",'Data Scenarios 3-4'!$D$2:$D$105=""Mean"")"),3.87628202342419)</f>
        <v>3.87628202342419</v>
      </c>
      <c r="D9" s="65" t="n">
        <f aca="false">IFERROR(__xludf.dummyfunction("FILTER(FILTER('Data Scenarios 3-4'!$A$2:$BX$105,'Data Scenarios 3-4'!$A$1:$BX$1=""P_LAPTOP_3_OUTPUT""),'Data Scenarios 3-4'!$B$2:$B$105=$A9,'Data Scenarios 3-4'!$C$2:$C$105=""All"",'Data Scenarios 3-4'!$D$2:$D$105=""Mean"")"),70.5752477149871)</f>
        <v>70.5752477149871</v>
      </c>
      <c r="E9" s="68" t="n">
        <f aca="false">B9*C9</f>
        <v>70.5752463584788</v>
      </c>
      <c r="F9" s="38" t="n">
        <f aca="false">IFERROR(__xludf.dummyfunction("FILTER(FILTER('Data Scenarios 3-4'!$A$2:$BX$105,'Data Scenarios 3-4'!$A$1:$BX$1=""V_LAPTOP_4_OUTPUT""),'Data Scenarios 3-4'!$B$2:$B$105=$A9,'Data Scenarios 3-4'!$C$2:$C$105=""All"",'Data Scenarios 3-4'!$D$2:$D$105=""Mean"")"),18.2474485555555)</f>
        <v>18.2474485555555</v>
      </c>
      <c r="G9" s="3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3-4'!$D$2:$D$105=""Mean"")"),3.8777971984647)</f>
        <v>3.8777971984647</v>
      </c>
      <c r="H9" s="65" t="n">
        <f aca="false">IFERROR(__xludf.dummyfunction("FILTER(FILTER('Data Scenarios 3-4'!$A$2:$BX$105,'Data Scenarios 3-4'!$A$1:$BX$1=""P_LAPTOP_4_OUTPUT""),'Data Scenarios 3-4'!$B$2:$B$105=$A9,'Data Scenarios 3-4'!$C$2:$C$105=""All"",'Data Scenarios 3-4'!$D$2:$D$105=""Mean"")"),70.7599050637878)</f>
        <v>70.7599050637878</v>
      </c>
      <c r="I9" s="68" t="n">
        <f aca="false">F9*G9</f>
        <v>70.7599048878619</v>
      </c>
      <c r="J9" s="38" t="n">
        <f aca="false">IFERROR(__xludf.dummyfunction("FILTER(FILTER('Data Scenarios 3-4'!$A$2:$BX$105,'Data Scenarios 3-4'!$A$1:$BX$1=""V_LAPTOP_5_OUTPUT""),'Data Scenarios 3-4'!$B$2:$B$105=$A9,'Data Scenarios 3-4'!$C$2:$C$105=""All"",'Data Scenarios 3-4'!$D$2:$D$105=""Mean"")"),18.3191920861111)</f>
        <v>18.3191920861111</v>
      </c>
      <c r="K9" s="3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3-4'!$D$2:$D$105=""Mean"")"),3.60508976727686)</f>
        <v>3.60508976727686</v>
      </c>
      <c r="L9" s="65" t="n">
        <f aca="false">IFERROR(__xludf.dummyfunction("FILTER(FILTER('Data Scenarios 3-4'!$A$2:$BX$105,'Data Scenarios 3-4'!$A$1:$BX$1=""P_LAPTOP_5_OUTPUT""),'Data Scenarios 3-4'!$B$2:$B$105=$A9,'Data Scenarios 3-4'!$C$2:$C$105=""All"",'Data Scenarios 3-4'!$D$2:$D$105=""Mean"")"),66.042304297099)</f>
        <v>66.042304297099</v>
      </c>
      <c r="M9" s="68" t="n">
        <f aca="false">J9*K9</f>
        <v>66.0423319344184</v>
      </c>
      <c r="N9" s="38" t="n">
        <f aca="false">IFERROR(__xludf.dummyfunction("FILTER(FILTER('Data Scenarios 3-4'!$A$2:$BX$105,'Data Scenarios 3-4'!$A$1:$BX$1=""V_LED_1""),'Data Scenarios 3-4'!$B$2:$B$105=$A9,'Data Scenarios 3-4'!$C$2:$C$105=""All"",'Data Scenarios 3-4'!$D$2:$D$105=""Mean"")"),24.0944668888888)</f>
        <v>24.0944668888888</v>
      </c>
      <c r="O9" s="38" t="n">
        <f aca="false">IFERROR(__xludf.dummyfunction("FILTER(FILTER('Data Scenarios 3-4'!$A$2:$BX$105,'Data Scenarios 3-4'!$A$1:$BX$1=""I_LED_1""),'Data Scenarios 3-4'!$B$2:$B$105=$A9,'Data Scenarios 3-4'!$C$2:$C$105=""All"",'Data Scenarios 3-4'!$D$2:$D$105=""Mean"")"),1.2149037287332)</f>
        <v>1.2149037287332</v>
      </c>
      <c r="P9" s="65" t="n">
        <f aca="false">IFERROR(__xludf.dummyfunction("FILTER(FILTER('Data Scenarios 3-4'!$A$2:$BX$105,'Data Scenarios 3-4'!$A$1:$BX$1=""P_LED_1""),'Data Scenarios 3-4'!$B$2:$B$105=$A9,'Data Scenarios 3-4'!$C$2:$C$105=""All"",'Data Scenarios 3-4'!$D$2:$D$105=""Mean"")"),29.2724573753837)</f>
        <v>29.2724573753837</v>
      </c>
      <c r="Q9" s="69" t="n">
        <f aca="false">N9*O9</f>
        <v>29.2724576651496</v>
      </c>
      <c r="R9" s="38" t="n">
        <f aca="false">IFERROR(__xludf.dummyfunction("FILTER(FILTER('Data Scenarios 3-4'!$A$2:$BX$105,'Data Scenarios 3-4'!$A$1:$BX$1=""V_LED_2""),'Data Scenarios 3-4'!$B$2:$B$105=$A9,'Data Scenarios 3-4'!$C$2:$C$105=""All"",'Data Scenarios 3-4'!$D$2:$D$105=""Mean"")"),23.9924227)</f>
        <v>23.9924227</v>
      </c>
      <c r="S9" s="38" t="n">
        <f aca="false">IFERROR(__xludf.dummyfunction("FILTER(FILTER('Data Scenarios 3-4'!$A$2:$BX$105,'Data Scenarios 3-4'!$A$1:$BX$1=""I_LED_2""),'Data Scenarios 3-4'!$B$2:$B$105=$A9,'Data Scenarios 3-4'!$C$2:$C$105=""All"",'Data Scenarios 3-4'!$D$2:$D$105=""Mean"")"),1.21117898365227)</f>
        <v>1.21117898365227</v>
      </c>
      <c r="T9" s="65" t="n">
        <f aca="false">IFERROR(__xludf.dummyfunction("FILTER(FILTER('Data Scenarios 3-4'!$A$2:$BX$105,'Data Scenarios 3-4'!$A$1:$BX$1=""P_LED_2""),'Data Scenarios 3-4'!$B$2:$B$105=$A9,'Data Scenarios 3-4'!$C$2:$C$105=""All"",'Data Scenarios 3-4'!$D$2:$D$105=""Mean"")"),29.0591180499591)</f>
        <v>29.0591180499591</v>
      </c>
      <c r="U9" s="69" t="n">
        <f aca="false">R9*S9</f>
        <v>29.0591181411416</v>
      </c>
      <c r="V9" s="38" t="n">
        <f aca="false">IFERROR(__xludf.dummyfunction("FILTER(FILTER('Data Scenarios 3-4'!$A$2:$BX$105,'Data Scenarios 3-4'!$A$1:$BX$1=""V_LED_3""),'Data Scenarios 3-4'!$B$2:$B$105=$A9,'Data Scenarios 3-4'!$C$2:$C$105=""All"",'Data Scenarios 3-4'!$D$2:$D$105=""Mean"")"),24.0143394055555)</f>
        <v>24.0143394055555</v>
      </c>
      <c r="W9" s="38" t="n">
        <f aca="false">IFERROR(__xludf.dummyfunction("FILTER(FILTER('Data Scenarios 3-4'!$A$2:$BX$105,'Data Scenarios 3-4'!$A$1:$BX$1=""I_LED_3""),'Data Scenarios 3-4'!$B$2:$B$105=$A9,'Data Scenarios 3-4'!$C$2:$C$105=""All"",'Data Scenarios 3-4'!$D$2:$D$105=""Mean"")"),1.18532367514526)</f>
        <v>1.18532367514526</v>
      </c>
      <c r="X9" s="65" t="n">
        <f aca="false">IFERROR(__xludf.dummyfunction("FILTER(FILTER('Data Scenarios 3-4'!$A$2:$BX$105,'Data Scenarios 3-4'!$A$1:$BX$1=""P_LED_3""),'Data Scenarios 3-4'!$B$2:$B$105=$A9,'Data Scenarios 3-4'!$C$2:$C$105=""All"",'Data Scenarios 3-4'!$D$2:$D$105=""Mean"")"),28.4647649225266)</f>
        <v>28.4647649225266</v>
      </c>
      <c r="Y9" s="69" t="n">
        <f aca="false">V9*W9</f>
        <v>28.4647650403787</v>
      </c>
      <c r="Z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A9" s="122" t="n">
        <v>0.012693</v>
      </c>
      <c r="AB9" s="41" t="n">
        <f aca="false">IFERROR(__xludf.dummyfunction("FILTER(FILTER('Data Scenarios 3-4'!$A$2:$BX$105,'Data Scenarios 3-4'!$A$1:$BX$1=""P_HEATER_1_A""),'Data Scenarios 3-4'!$B$2:$B$105=$A9,'Data Scenarios 3-4'!$C$2:$C$105=""All"",'Data Scenarios 3-4'!$D$2:$D$105=""Mean"")"),192.85415625)</f>
        <v>192.85415625</v>
      </c>
      <c r="AC9" s="123" t="n">
        <f aca="false">Z9^2*AA9</f>
        <v>184.039513023676</v>
      </c>
      <c r="AD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E9" s="112" t="n">
        <v>0</v>
      </c>
      <c r="AF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3-4'!$D$2:$D$105=""Mean"")"),0)</f>
        <v>0</v>
      </c>
      <c r="AG9" s="113" t="n">
        <f aca="false">AD9^2*AE9</f>
        <v>0</v>
      </c>
      <c r="AH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I9" s="122" t="n">
        <v>0.012295</v>
      </c>
      <c r="AJ9" s="41" t="n">
        <f aca="false">IFERROR(__xludf.dummyfunction("FILTER(FILTER('Data Scenarios 3-4'!$A$2:$BX$105,'Data Scenarios 3-4'!$A$1:$BX$1=""P_HEATER_1_C""),'Data Scenarios 3-4'!$B$2:$B$105=$A9,'Data Scenarios 3-4'!$C$2:$C$105=""All"",'Data Scenarios 3-4'!$D$2:$D$105=""Mean"")"),189.227229166666)</f>
        <v>189.227229166666</v>
      </c>
      <c r="AK9" s="123" t="n">
        <f aca="false">AH9^2*AI9</f>
        <v>178.049732509729</v>
      </c>
      <c r="AL9" s="111" t="n">
        <f aca="false">IFERROR(__xludf.dummyfunction("FILTER(FILTER('Data Scenarios 3-4'!$A$2:$BX$105,'Data Scenarios 3-4'!$A$1:$BX$1=""V_an""),'Data Scenarios 3-4'!$B$2:$B$105=$A9,'Data Scenarios 3-4'!$C$2:$C$105=""All"",'Data Scenarios 3-4'!$D$2:$D$105=""Mean"")"),120.413005833333)</f>
        <v>120.413005833333</v>
      </c>
      <c r="AM9" s="122" t="n">
        <v>0.026068</v>
      </c>
      <c r="AN9" s="41" t="n">
        <f aca="false">IFERROR(__xludf.dummyfunction("FILTER(FILTER('Data Scenarios 3-4'!$A$2:$BX$105,'Data Scenarios 3-4'!$A$1:$BX$1=""P_HEATER_2_A""),'Data Scenarios 3-4'!$B$2:$B$105=$A9,'Data Scenarios 3-4'!$C$2:$C$105=""All"",'Data Scenarios 3-4'!$D$2:$D$105=""Mean"")"),383.774104166666)</f>
        <v>383.774104166666</v>
      </c>
      <c r="AO9" s="123" t="n">
        <f aca="false">AL9^2*AM9</f>
        <v>377.967543173495</v>
      </c>
      <c r="AP9" s="111" t="n">
        <f aca="false">IFERROR(__xludf.dummyfunction("FILTER(FILTER('Data Scenarios 3-4'!$A$2:$BX$105,'Data Scenarios 3-4'!$A$1:$BX$1=""V_bn""),'Data Scenarios 3-4'!$B$2:$B$105=$A9,'Data Scenarios 3-4'!$C$2:$C$105=""All"",'Data Scenarios 3-4'!$D$2:$D$105=""Mean"")"),122.72667)</f>
        <v>122.72667</v>
      </c>
      <c r="AQ9" s="112" t="n">
        <v>0</v>
      </c>
      <c r="AR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3-4'!$D$2:$D$105=""Mean"")"),0)</f>
        <v>0</v>
      </c>
      <c r="AS9" s="113" t="n">
        <f aca="false">AP9^2*AQ9</f>
        <v>0</v>
      </c>
      <c r="AT9" s="111" t="n">
        <f aca="false">IFERROR(__xludf.dummyfunction("FILTER(FILTER('Data Scenarios 3-4'!$A$2:$BX$105,'Data Scenarios 3-4'!$A$1:$BX$1=""V_cn""),'Data Scenarios 3-4'!$B$2:$B$105=$A9,'Data Scenarios 3-4'!$C$2:$C$105=""All"",'Data Scenarios 3-4'!$D$2:$D$105=""Mean"")"),120.338999444444)</f>
        <v>120.338999444444</v>
      </c>
      <c r="AU9" s="122" t="n">
        <v>0.026594</v>
      </c>
      <c r="AV9" s="41" t="n">
        <f aca="false">IFERROR(__xludf.dummyfunction("FILTER(FILTER('Data Scenarios 3-4'!$A$2:$BX$105,'Data Scenarios 3-4'!$A$1:$BX$1=""P_HEATER_2_C""),'Data Scenarios 3-4'!$B$2:$B$105=$A9,'Data Scenarios 3-4'!$C$2:$C$105=""All"",'Data Scenarios 3-4'!$D$2:$D$105=""Mean"")"),394.717871527777)</f>
        <v>394.717871527777</v>
      </c>
      <c r="AW9" s="123" t="n">
        <f aca="false">AT9^2*AU9</f>
        <v>385.120340493187</v>
      </c>
      <c r="AX9" s="44" t="n">
        <f aca="false">IFERROR(__xludf.dummyfunction("FILTER(FILTER('Data Scenarios 3-4'!$A$2:$BX$105,'Data Scenarios 3-4'!$A$1:$BX$1=""P_In""),'Data Scenarios 3-4'!$B$2:$B$105=$A9,'Data Scenarios 3-4'!$C$2:$C$105=""All"",'Data Scenarios 3-4'!$D$2:$D$105=""Mean"")"),1616.66359361111)</f>
        <v>1616.66359361111</v>
      </c>
      <c r="AY9" s="74" t="n">
        <f aca="false">IFERROR(__xludf.dummyfunction("FILTER(FILTER('Data Scenarios 3-4'!$A$2:$BX$105,'Data Scenarios 3-4'!$A$1:$BX$1=""P_Secondary""),'Data Scenarios 3-4'!$B$2:$B$105=$A9,'Data Scenarios 3-4'!$C$2:$C$105=""All"",'Data Scenarios 3-4'!$D$2:$D$105=""Mean"")"),1522.80877972222)</f>
        <v>1522.80877972222</v>
      </c>
      <c r="AZ9" s="59" t="n">
        <f aca="false">IFERROR(__xludf.dummyfunction("FILTER(FILTER('Data Scenarios 3-4'!$A$2:$BX$105,'Data Scenarios 3-4'!$A$1:$BX$1=""P_Out""),'Data Scenarios 3-4'!$B$2:$B$105=$A9,'Data Scenarios 3-4'!$C$2:$C$105=""All"",'Data Scenarios 3-4'!$D$2:$D$105=""Mean"")"),1454.74715853485)</f>
        <v>1454.74715853485</v>
      </c>
      <c r="BA9" s="114" t="n">
        <f aca="false">E9+I9+M9+Q9+U9+Y9+AC9+AG9+AK9+AO9+AS9+AW9</f>
        <v>1419.35095322752</v>
      </c>
      <c r="BB9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BC9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BD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BE9" s="54" t="n">
        <f aca="false">IFERROR(__xludf.dummyfunction("FILTER(FILTER('Data Scenarios 3-4'!$A$2:$BX$105,'Data Scenarios 3-4'!$A$1:$BX$1=""V_LAPTOP_3_OUTPUT""),'Data Scenarios 3-4'!$B$2:$B$105=$A9,'Data Scenarios 3-4'!$C$2:$C$105=""All"",'Data Scenarios 3-4'!$D$2:$D$105=""Standard Deviation"")"),0.00335634441767928)</f>
        <v>0.00335634441767928</v>
      </c>
      <c r="BF9" s="48" t="n">
        <f aca="false">IFERROR(__xludf.dummyfunction("FILTER(FILTER('Data Scenarios 3-4'!$A$2:$BX$105,'Data Scenarios 3-4'!$A$1:$BX$1=""I_LAPTOP_3_OUTPUT""),'Data Scenarios 3-4'!$B$2:$B$105=$A9,'Data Scenarios 3-4'!$C$2:$C$105=""All"",'Data Scenarios 3-4'!$D$2:$D$105=""Standard Deviation"")"),0.0018704291781989)</f>
        <v>0.0018704291781989</v>
      </c>
      <c r="BG9" s="52" t="n">
        <f aca="false">IFERROR(__xludf.dummyfunction("FILTER(FILTER('Data Scenarios 3-4'!$A$2:$BX$105,'Data Scenarios 3-4'!$A$1:$BX$1=""V_LAPTOP_3_OUTPUT * I_LAPTOP_3_OUTPUT""),'Data Scenarios 3-4'!$B$2:$B$105=$A9,'Data Scenarios 3-4'!$C$2:$C$105=""All"",'Data Scenarios 3-4'!$D$2:$D$105=""Covariance"")"),0.00000568345645609124)</f>
        <v>5.68345645609124E-006</v>
      </c>
      <c r="BH9" s="50" t="n">
        <f aca="false">IFERROR(__xludf.dummyfunction("FILTER(FILTER('Data Scenarios 3-4'!$A$2:$BX$105,'Data Scenarios 3-4'!$A$1:$BX$1=""P_LAPTOP_3_OUTPUT""),'Data Scenarios 3-4'!$B$2:$B$105=$A9,'Data Scenarios 3-4'!$C$2:$C$105=""All"",'Data Scenarios 3-4'!$D$2:$D$105=""Standard Deviation"")"),0.0461652923426512)</f>
        <v>0.0461652923426512</v>
      </c>
      <c r="BI9" s="51" t="n">
        <f aca="false">SQRT(BE9^2*(C9)^2+BF9^2*(B9)^2+2*BG9*(C9)*(B9))</f>
        <v>0.0461650907343912</v>
      </c>
      <c r="BJ9" s="47" t="n">
        <f aca="false">IFERROR(__xludf.dummyfunction("FILTER(FILTER('Data Scenarios 3-4'!$A$2:$BX$105,'Data Scenarios 3-4'!$A$1:$BX$1=""V_LAPTOP_4_OUTPUT""),'Data Scenarios 3-4'!$B$2:$B$105=$A9,'Data Scenarios 3-4'!$C$2:$C$105=""All"",'Data Scenarios 3-4'!$D$2:$D$105=""Standard Deviation"")"),0.000521435533549496)</f>
        <v>0.000521435533549496</v>
      </c>
      <c r="BK9" s="48" t="n">
        <f aca="false">IFERROR(__xludf.dummyfunction("FILTER(FILTER('Data Scenarios 3-4'!$A$2:$BX$105,'Data Scenarios 3-4'!$A$1:$BX$1=""I_LAPTOP_4_OUTPUT""),'Data Scenarios 3-4'!$B$2:$B$105=$A9,'Data Scenarios 3-4'!$C$2:$C$105=""All"",'Data Scenarios 3-4'!$D$2:$D$105=""Standard Deviation"")"),0.00140370835652862)</f>
        <v>0.00140370835652862</v>
      </c>
      <c r="BL9" s="81" t="n">
        <f aca="false">IFERROR(__xludf.dummyfunction("FILTER(FILTER('Data Scenarios 3-4'!$A$2:$BX$105,'Data Scenarios 3-4'!$A$1:$BX$1=""V_LAPTOP_4_OUTPUT * I_LAPTOP_4_OUTPUT""),'Data Scenarios 3-4'!$B$2:$B$105=$A9,'Data Scenarios 3-4'!$C$2:$C$105=""All"",'Data Scenarios 3-4'!$D$2:$D$105=""Covariance"")"),0.000000223702389395679)</f>
        <v>2.23702389395679E-007</v>
      </c>
      <c r="BM9" s="50" t="n">
        <f aca="false">IFERROR(__xludf.dummyfunction("FILTER(FILTER('Data Scenarios 3-4'!$A$2:$BX$105,'Data Scenarios 3-4'!$A$1:$BX$1=""P_LAPTOP_4_OUTPUT""),'Data Scenarios 3-4'!$B$2:$B$105=$A9,'Data Scenarios 3-4'!$C$2:$C$105=""All"",'Data Scenarios 3-4'!$D$2:$D$105=""Standard Deviation"")"),0.0263027549417495)</f>
        <v>0.0263027549417495</v>
      </c>
      <c r="BN9" s="51" t="n">
        <f aca="false">SQRT(BJ9^2*(G9)^2+BK9^2*(F9)^2+2*BL9*(G9)*(F9))</f>
        <v>0.0263026387382902</v>
      </c>
      <c r="BO9" s="47" t="n">
        <f aca="false">IFERROR(__xludf.dummyfunction("FILTER(FILTER('Data Scenarios 3-4'!$A$2:$BX$105,'Data Scenarios 3-4'!$A$1:$BX$1=""V_LAPTOP_5_OUTPUT""),'Data Scenarios 3-4'!$B$2:$B$105=$A9,'Data Scenarios 3-4'!$C$2:$C$105=""All"",'Data Scenarios 3-4'!$D$2:$D$105=""Standard Deviation"")"),0.00119435075698729)</f>
        <v>0.00119435075698729</v>
      </c>
      <c r="BP9" s="48" t="n">
        <f aca="false">IFERROR(__xludf.dummyfunction("FILTER(FILTER('Data Scenarios 3-4'!$A$2:$BX$105,'Data Scenarios 3-4'!$A$1:$BX$1=""I_LAPTOP_5_OUTPUT""),'Data Scenarios 3-4'!$B$2:$B$105=$A9,'Data Scenarios 3-4'!$C$2:$C$105=""All"",'Data Scenarios 3-4'!$D$2:$D$105=""Standard Deviation"")"),0.0278443398776709)</f>
        <v>0.0278443398776709</v>
      </c>
      <c r="BQ9" s="52" t="n">
        <f aca="false">IFERROR(__xludf.dummyfunction("FILTER(FILTER('Data Scenarios 3-4'!$A$2:$BX$105,'Data Scenarios 3-4'!$A$1:$BX$1=""V_LAPTOP_5_OUTPUT * I_LAPTOP_5_OUTPUT""),'Data Scenarios 3-4'!$B$2:$B$105=$A9,'Data Scenarios 3-4'!$C$2:$C$105=""All"",'Data Scenarios 3-4'!$D$2:$D$105=""Covariance"")"),-0.0000302624188236789)</f>
        <v>-3.02624188236789E-005</v>
      </c>
      <c r="BR9" s="50" t="n">
        <f aca="false">IFERROR(__xludf.dummyfunction("FILTER(FILTER('Data Scenarios 3-4'!$A$2:$BX$105,'Data Scenarios 3-4'!$A$1:$BX$1=""P_LAPTOP_5_OUTPUT""),'Data Scenarios 3-4'!$B$2:$B$105=$A9,'Data Scenarios 3-4'!$C$2:$C$105=""All"",'Data Scenarios 3-4'!$D$2:$D$105=""Standard Deviation"")"),0.50620160724774)</f>
        <v>0.50620160724774</v>
      </c>
      <c r="BS9" s="51" t="n">
        <f aca="false">SQRT(BO9^2*(K9)^2+BP9^2*(J9)^2+2*BQ9*(K9)*(J9))</f>
        <v>0.506170793607689</v>
      </c>
      <c r="BT9" s="54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BU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BV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BW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BX9" s="71" t="n">
        <f aca="false">SQRT(BT9^2*(O9)^2+BU9^2*(N9)^2+2*BV9*(O9)*(N9))</f>
        <v>0.0207821298629839</v>
      </c>
      <c r="BY9" s="54" t="n">
        <f aca="false">IFERROR(__xludf.dummyfunction("FILTER(FILTER('Data Scenarios 3-4'!$A$2:$BX$105,'Data Scenarios 3-4'!$A$1:$BX$1=""V_LED_2""),'Data Scenarios 3-4'!$B$2:$B$105=$A9,'Data Scenarios 3-4'!$C$2:$C$105=""All"",'Data Scenarios 3-4'!$D$2:$D$105=""Standard Deviation"")"),0.000414963801885282)</f>
        <v>0.000414963801885282</v>
      </c>
      <c r="BZ9" s="48" t="n">
        <f aca="false">IFERROR(__xludf.dummyfunction("FILTER(FILTER('Data Scenarios 3-4'!$A$2:$BX$105,'Data Scenarios 3-4'!$A$1:$BX$1=""I_LED_2""),'Data Scenarios 3-4'!$B$2:$B$105=$A9,'Data Scenarios 3-4'!$C$2:$C$105=""All"",'Data Scenarios 3-4'!$D$2:$D$105=""Standard Deviation"")"),0.000363817450143846)</f>
        <v>0.000363817450143846</v>
      </c>
      <c r="CA9" s="52" t="n">
        <f aca="false">IFERROR(__xludf.dummyfunction("FILTER(FILTER('Data Scenarios 3-4'!$A$2:$BX$105,'Data Scenarios 3-4'!$A$1:$BX$1=""V_LED_2 * I_LED_2""),'Data Scenarios 3-4'!$B$2:$B$105=$A9,'Data Scenarios 3-4'!$C$2:$C$105=""All"",'Data Scenarios 3-4'!$D$2:$D$105=""Covariance"")"),-0.000000147685131412969)</f>
        <v>-1.47685131412969E-007</v>
      </c>
      <c r="CB9" s="50" t="n">
        <f aca="false">IFERROR(__xludf.dummyfunction("FILTER(FILTER('Data Scenarios 3-4'!$A$2:$BX$105,'Data Scenarios 3-4'!$A$1:$BX$1=""P_LED_2""),'Data Scenarios 3-4'!$B$2:$B$105=$A9,'Data Scenarios 3-4'!$C$2:$C$105=""All"",'Data Scenarios 3-4'!$D$2:$D$105=""Standard Deviation"")"),0.00823788173802454)</f>
        <v>0.00823788173802454</v>
      </c>
      <c r="CC9" s="51" t="n">
        <f aca="false">SQRT(BY9^2*(S9)^2+BZ9^2*(R9)^2+2*CA9*(S9)*(R9))</f>
        <v>0.00823786595473901</v>
      </c>
      <c r="CD9" s="47" t="n">
        <f aca="false">IFERROR(__xludf.dummyfunction("FILTER(FILTER('Data Scenarios 3-4'!$A$2:$BX$105,'Data Scenarios 3-4'!$A$1:$BX$1=""V_LED_1""),'Data Scenarios 3-4'!$B$2:$B$105=$A9,'Data Scenarios 3-4'!$C$2:$C$105=""All"",'Data Scenarios 3-4'!$D$2:$D$105=""Standard Deviation"")"),0.000492439334554792)</f>
        <v>0.000492439334554792</v>
      </c>
      <c r="CE9" s="70" t="n">
        <f aca="false">IFERROR(__xludf.dummyfunction("FILTER(FILTER('Data Scenarios 3-4'!$A$2:$BX$105,'Data Scenarios 3-4'!$A$1:$BX$1=""I_LED_1""),'Data Scenarios 3-4'!$B$2:$B$105=$A9,'Data Scenarios 3-4'!$C$2:$C$105=""All"",'Data Scenarios 3-4'!$D$2:$D$105=""Standard Deviation"")"),0.000886385749782288)</f>
        <v>0.000886385749782288</v>
      </c>
      <c r="CF9" s="52" t="n">
        <f aca="false">IFERROR(__xludf.dummyfunction("FILTER(FILTER('Data Scenarios 3-4'!$A$2:$BX$105,'Data Scenarios 3-4'!$A$1:$BX$1=""V_LED_1 * I_LED_1""),'Data Scenarios 3-4'!$B$2:$B$105=$A9,'Data Scenarios 3-4'!$C$2:$C$105=""All"",'Data Scenarios 3-4'!$D$2:$D$105=""Covariance"")"),-0.000000419884671423327)</f>
        <v>-4.19884671423327E-007</v>
      </c>
      <c r="CG9" s="38" t="n">
        <f aca="false">IFERROR(__xludf.dummyfunction("FILTER(FILTER('Data Scenarios 3-4'!$A$2:$BX$105,'Data Scenarios 3-4'!$A$1:$BX$1=""P_LED_1""),'Data Scenarios 3-4'!$B$2:$B$105=$A9,'Data Scenarios 3-4'!$C$2:$C$105=""All"",'Data Scenarios 3-4'!$D$2:$D$105=""Standard Deviation"")"),0.0207823000783265)</f>
        <v>0.0207823000783265</v>
      </c>
      <c r="CH9" s="71" t="n">
        <f aca="false">SQRT(CD9^2*(W9)^2+CE9^2*(V9)^2+2*CF9*(W9)*(V9))</f>
        <v>0.0207250889637107</v>
      </c>
      <c r="CI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J9" s="125" t="n">
        <v>2.3E-005</v>
      </c>
      <c r="CK9" s="65" t="n">
        <f aca="false">IFERROR(__xludf.dummyfunction("FILTER(FILTER('Data Scenarios 3-4'!$A$2:$BX$105,'Data Scenarios 3-4'!$A$1:$BX$1=""P_HEATER_1_A""),'Data Scenarios 3-4'!$B$2:$B$105=$A9,'Data Scenarios 3-4'!$C$2:$C$105=""All"",'Data Scenarios 3-4'!$D$2:$D$105=""Standard Deviation"")"),0.573359231242701)</f>
        <v>0.573359231242701</v>
      </c>
      <c r="CL9" s="117" t="n">
        <f aca="false">SQRT(CI9^2*(2*Z9*AA9)^2+CJ9^2*(Z9^2)^2)</f>
        <v>0.53706932398575</v>
      </c>
      <c r="CM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N9" s="116" t="n">
        <v>0</v>
      </c>
      <c r="CO9" s="41" t="n">
        <f aca="false">IFERROR(__xludf.dummyfunction("FILTER(FILTER('Data Scenarios 3-4'!$A$2:$BX$105,'Data Scenarios 3-4'!$A$1:$BX$1=""P_HEATER_1_B""),'Data Scenarios 3-4'!$B$2:$B$105=$A9,'Data Scenarios 3-4'!$C$2:$C$105=""All"",'Data Scenarios 3-4'!$D$2:$D$105=""Standard Deviation"")"),0)</f>
        <v>0</v>
      </c>
      <c r="CP9" s="117" t="n">
        <f aca="false">SQRT(CM9^2*(2*AD9*AE9)^2+CN9^2*(AD9^2)^2)</f>
        <v>0</v>
      </c>
      <c r="CQ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CR9" s="125" t="n">
        <v>2.2E-005</v>
      </c>
      <c r="CS9" s="65" t="n">
        <f aca="false">IFERROR(__xludf.dummyfunction("FILTER(FILTER('Data Scenarios 3-4'!$A$2:$BX$105,'Data Scenarios 3-4'!$A$1:$BX$1=""P_HEATER_1_C""),'Data Scenarios 3-4'!$B$2:$B$105=$A9,'Data Scenarios 3-4'!$C$2:$C$105=""All"",'Data Scenarios 3-4'!$D$2:$D$105=""Standard Deviation"")"),0.349499187050754)</f>
        <v>0.349499187050754</v>
      </c>
      <c r="CT9" s="117" t="n">
        <f aca="false">SQRT(CQ9^2*(2*AH9*AI9)^2+CR9^2*(AH9^2)^2)</f>
        <v>0.514120677260062</v>
      </c>
      <c r="CU9" s="115" t="n">
        <f aca="false">IFERROR(__xludf.dummyfunction("FILTER(FILTER('Data Scenarios 3-4'!$A$2:$BX$105,'Data Scenarios 3-4'!$A$1:$BX$1=""V_an""),'Data Scenarios 3-4'!$B$2:$B$105=$A9,'Data Scenarios 3-4'!$C$2:$C$105=""All"",'Data Scenarios 3-4'!$D$2:$D$105=""Standard Deviation"")"),0.137722051069157)</f>
        <v>0.137722051069157</v>
      </c>
      <c r="CV9" s="125" t="n">
        <v>4.7E-005</v>
      </c>
      <c r="CW9" s="65" t="n">
        <f aca="false">IFERROR(__xludf.dummyfunction("FILTER(FILTER('Data Scenarios 3-4'!$A$2:$BX$105,'Data Scenarios 3-4'!$A$1:$BX$1=""P_HEATER_2_A""),'Data Scenarios 3-4'!$B$2:$B$105=$A9,'Data Scenarios 3-4'!$C$2:$C$105=""All"",'Data Scenarios 3-4'!$D$2:$D$105=""Standard Deviation"")"),0.198790926243552)</f>
        <v>0.198790926243552</v>
      </c>
      <c r="CX9" s="117" t="n">
        <f aca="false">SQRT(CU9^2*(2*AL9*AM9)^2+CV9^2*(AL9^2)^2)</f>
        <v>1.10087594157669</v>
      </c>
      <c r="CY9" s="115" t="n">
        <f aca="false">IFERROR(__xludf.dummyfunction("FILTER(FILTER('Data Scenarios 3-4'!$A$2:$BX$105,'Data Scenarios 3-4'!$A$1:$BX$1=""V_bn""),'Data Scenarios 3-4'!$B$2:$B$105=$A9,'Data Scenarios 3-4'!$C$2:$C$105=""All"",'Data Scenarios 3-4'!$D$2:$D$105=""Standard Deviation"")"),0.214822842827979)</f>
        <v>0.214822842827979</v>
      </c>
      <c r="CZ9" s="116" t="n">
        <v>0</v>
      </c>
      <c r="DA9" s="41" t="n">
        <f aca="false">IFERROR(__xludf.dummyfunction("FILTER(FILTER('Data Scenarios 3-4'!$A$2:$BX$105,'Data Scenarios 3-4'!$A$1:$BX$1=""P_HEATER_2_B""),'Data Scenarios 3-4'!$B$2:$B$105=$A9,'Data Scenarios 3-4'!$C$2:$C$105=""All"",'Data Scenarios 3-4'!$D$2:$D$105=""Standard Deviation"")"),0)</f>
        <v>0</v>
      </c>
      <c r="DB9" s="117" t="n">
        <f aca="false">SQRT(CY9^2*(2*AP9*AQ9)^2+CZ9^2*(AP9^2)^2)</f>
        <v>0</v>
      </c>
      <c r="DC9" s="115" t="n">
        <f aca="false">IFERROR(__xludf.dummyfunction("FILTER(FILTER('Data Scenarios 3-4'!$A$2:$BX$105,'Data Scenarios 3-4'!$A$1:$BX$1=""V_cn""),'Data Scenarios 3-4'!$B$2:$B$105=$A9,'Data Scenarios 3-4'!$C$2:$C$105=""All"",'Data Scenarios 3-4'!$D$2:$D$105=""Standard Deviation"")"),0.136360164337999)</f>
        <v>0.136360164337999</v>
      </c>
      <c r="DD9" s="125" t="n">
        <v>3.5E-005</v>
      </c>
      <c r="DE9" s="65" t="n">
        <f aca="false">IFERROR(__xludf.dummyfunction("FILTER(FILTER('Data Scenarios 3-4'!$A$2:$BX$105,'Data Scenarios 3-4'!$A$1:$BX$1=""P_HEATER_2_C""),'Data Scenarios 3-4'!$B$2:$B$105=$A9,'Data Scenarios 3-4'!$C$2:$C$105=""All"",'Data Scenarios 3-4'!$D$2:$D$105=""Standard Deviation"")"),0.156151851234)</f>
        <v>0.156151851234</v>
      </c>
      <c r="DF9" s="117" t="n">
        <f aca="false">SQRT(DC9^2*(2*AT9*AU9)^2+DD9^2*(AT9^2)^2)</f>
        <v>1.00928354086788</v>
      </c>
      <c r="DG9" s="57" t="n">
        <f aca="false">IFERROR(__xludf.dummyfunction("FILTER(FILTER('Data Scenarios 3-4'!$A$2:$BX$105,'Data Scenarios 3-4'!$A$1:$BX$1=""P_In""),'Data Scenarios 3-4'!$B$2:$B$105=$A9,'Data Scenarios 3-4'!$C$2:$C$105=""All"",'Data Scenarios 3-4'!$D$2:$D$105=""Standard Deviation"")"),1.94907417135473)</f>
        <v>1.94907417135473</v>
      </c>
      <c r="DH9" s="57" t="n">
        <f aca="false">IFERROR(__xludf.dummyfunction("FILTER(FILTER('Data Scenarios 3-4'!$A$2:$BX$105,'Data Scenarios 3-4'!$A$1:$BX$1=""P_Secondary""),'Data Scenarios 3-4'!$B$2:$B$105=$A9,'Data Scenarios 3-4'!$C$2:$C$105=""All"",'Data Scenarios 3-4'!$D$2:$D$105=""Standard Deviation"")"),1.61313477802815)</f>
        <v>1.61313477802815</v>
      </c>
      <c r="DI9" s="45" t="n">
        <f aca="false">IFERROR(__xludf.dummyfunction("FILTER(FILTER('Data Scenarios 3-4'!$A$2:$BX$105,'Data Scenarios 3-4'!$A$1:$BX$1=""P_Out""),'Data Scenarios 3-4'!$B$2:$B$105=$A9,'Data Scenarios 3-4'!$C$2:$C$105=""All"",'Data Scenarios 3-4'!$D$2:$D$105=""Standard Deviation"")"),1.63166358562821)</f>
        <v>1.63166358562821</v>
      </c>
      <c r="DJ9" s="62" t="n">
        <f aca="false">SQRT(BH9^2+BM9^2+BR9^2+BW9^2+CB9^2+CG9^2+CK9^2+CO9^2+CS9^2+CW9^2+DA9^2+DE9^2)</f>
        <v>0.880219591808975</v>
      </c>
      <c r="DK9" s="74" t="n">
        <f aca="false">IFERROR(__xludf.dummyfunction("FILTER(FILTER('Data Scenarios 3-4'!$A$2:$BX$105,'Data Scenarios 3-4'!$A$1:$BX$1=""P_TransformerLoss""),'Data Scenarios 3-4'!$B$2:$B$105=$A9,'Data Scenarios 3-4'!$C$2:$C$105=""All"",'Data Scenarios 3-4'!$D$2:$D$105=""Standard Deviation"")"),0.388821520173774)</f>
        <v>0.388821520173774</v>
      </c>
      <c r="DL9" s="38" t="n">
        <f aca="false">IFERROR(__xludf.dummyfunction("FILTER(FILTER('Data Scenarios 3-4'!$A$2:$BX$105,'Data Scenarios 3-4'!$A$1:$BX$1=""P_ConverterLoss""),'Data Scenarios 3-4'!$B$2:$B$105=$A9,'Data Scenarios 3-4'!$C$2:$C$105=""All"",'Data Scenarios 3-4'!$D$2:$D$105=""Standard Deviation"")"),0.0906477092829826)</f>
        <v>0.0906477092829826</v>
      </c>
      <c r="DM9" s="75" t="n">
        <f aca="false">SQRT(DH9^2+MAX(DI9:DJ9)^2)</f>
        <v>2.29445633402535</v>
      </c>
      <c r="DN9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3-4'!$D$2:$D$105=""Standard Deviation"")"),0.332620239279964)</f>
        <v>0.332620239279964</v>
      </c>
      <c r="DO9" s="75" t="n">
        <f aca="false">SQRT(DG9^2+MAX(DI9:DJ9)^2)</f>
        <v>2.54189224439338</v>
      </c>
      <c r="DP9" s="119" t="n">
        <v>1602.35817861634</v>
      </c>
      <c r="DQ9" s="120" t="n">
        <v>1503.56034321202</v>
      </c>
      <c r="DR9" s="120" t="n">
        <v>98.7978354043103</v>
      </c>
      <c r="DS9" s="120" t="n">
        <v>48.8143432120245</v>
      </c>
      <c r="DT9" s="120" t="n">
        <v>147.612178616335</v>
      </c>
      <c r="DU9" s="121" t="n">
        <f aca="false">DP9-AX9</f>
        <v>-14.30541499477</v>
      </c>
      <c r="DV9" s="65" t="n">
        <f aca="false">TINV(0.1,2)*DG9/SQRT(3)</f>
        <v>3.28585538630014</v>
      </c>
      <c r="DW9" s="66" t="n">
        <f aca="false">DU9/AX9</f>
        <v>-0.00884872712622684</v>
      </c>
      <c r="DX9" s="67" t="n">
        <f aca="false">DV9/AX9</f>
        <v>0.00203249173129494</v>
      </c>
      <c r="DY9" s="45" t="n">
        <f aca="false">DQ9-AY9</f>
        <v>-19.2484365102</v>
      </c>
      <c r="DZ9" s="65" t="n">
        <f aca="false">TINV(0.1,2)*DH9/SQRT(3)</f>
        <v>2.71951046148627</v>
      </c>
      <c r="EA9" s="66" t="n">
        <f aca="false">DY9/AY9</f>
        <v>-0.0126400876896121</v>
      </c>
      <c r="EB9" s="67" t="n">
        <f aca="false">DZ9/AY9</f>
        <v>0.00178585157749244</v>
      </c>
      <c r="EC9" s="45" t="n">
        <f aca="false">DR9-BB9</f>
        <v>4.94302151542151</v>
      </c>
      <c r="ED9" s="65" t="n">
        <f aca="false">TINV(0.1,2)*DK9/SQRT(3)</f>
        <v>0.655496494258288</v>
      </c>
      <c r="EE9" s="66" t="n">
        <f aca="false">EC9/BB9</f>
        <v>0.0526666807018909</v>
      </c>
      <c r="EF9" s="67" t="n">
        <f aca="false">ED9/BB9</f>
        <v>0.00698415421753759</v>
      </c>
      <c r="EG9" s="45" t="n">
        <f aca="false">DS9-BC9</f>
        <v>-19.2472779753429</v>
      </c>
      <c r="EH9" s="65" t="n">
        <f aca="false">TINV(0.1,2)*DL9/SQRT(3)</f>
        <v>0.152818845060283</v>
      </c>
      <c r="EI9" s="66" t="n">
        <f aca="false">EG9/BC9</f>
        <v>-0.28279194117867</v>
      </c>
      <c r="EJ9" s="66" t="n">
        <f aca="false">EH9/BC9</f>
        <v>0.00224530127837517</v>
      </c>
      <c r="EK9" s="45" t="n">
        <f aca="false">DT9-BD9</f>
        <v>-14.304256459921</v>
      </c>
      <c r="EL9" s="65" t="n">
        <f aca="false">TINV(0.1,2)*DN9/SQRT(3)</f>
        <v>0.56074931415814</v>
      </c>
      <c r="EM9" s="66" t="n">
        <f aca="false">EK9/BD9</f>
        <v>-0.0883434498368512</v>
      </c>
      <c r="EN9" s="66" t="n">
        <f aca="false">EL9/BD9</f>
        <v>0.00346320195287187</v>
      </c>
    </row>
    <row r="10" customFormat="false" ht="12.8" hidden="false" customHeight="false" outlineLevel="0" collapsed="false">
      <c r="A10" s="37" t="n">
        <v>4.3</v>
      </c>
      <c r="B10" s="38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3-4'!$D$2:$D$105=""Mean"")"),18.2068949583333)</f>
        <v>18.2068949583333</v>
      </c>
      <c r="C10" s="65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3-4'!$D$2:$D$105=""Mean"")"),3.8733702997175)</f>
        <v>3.8733702997175</v>
      </c>
      <c r="D10" s="65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3-4'!$D$2:$D$105=""Mean"")"),70.5220494369545)</f>
        <v>70.5220494369545</v>
      </c>
      <c r="E10" s="68" t="n">
        <f aca="false">B10*C10</f>
        <v>70.5220461816845</v>
      </c>
      <c r="F10" s="38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3-4'!$D$2:$D$105=""Mean"")"),18.2471513916666)</f>
        <v>18.2471513916666</v>
      </c>
      <c r="G10" s="3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3-4'!$D$2:$D$105=""Mean"")"),3.88208942933007)</f>
        <v>3.88208942933007</v>
      </c>
      <c r="H10" s="65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3-4'!$D$2:$D$105=""Mean"")"),70.8370736416452)</f>
        <v>70.8370736416452</v>
      </c>
      <c r="I10" s="68" t="n">
        <f aca="false">F10*G10</f>
        <v>70.8370735329744</v>
      </c>
      <c r="J10" s="38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3-4'!$D$2:$D$105=""Mean"")"),18.3332124388888)</f>
        <v>18.3332124388888</v>
      </c>
      <c r="K10" s="3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3-4'!$D$2:$D$105=""Mean"")"),3.57189772210089)</f>
        <v>3.57189772210089</v>
      </c>
      <c r="L10" s="65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3-4'!$D$2:$D$105=""Mean"")"),65.4842245779474)</f>
        <v>65.4842245779474</v>
      </c>
      <c r="M10" s="68" t="n">
        <f aca="false">J10*K10</f>
        <v>65.4843597492586</v>
      </c>
      <c r="N10" s="38" t="n">
        <f aca="false">IFERROR(__xludf.dummyfunction("FILTER(FILTER('Data Scenarios 3-4'!$A$2:$BX$105,'Data Scenarios 3-4'!$A$1:$BX$1=""V_LED_1""),'Data Scenarios 3-4'!$B$2:$B$105=$A10,'Data Scenarios 3-4'!$C$2:$C$105=""All"",'Data Scenarios 3-4'!$D$2:$D$105=""Mean"")"),24.0927691055555)</f>
        <v>24.0927691055555</v>
      </c>
      <c r="O10" s="38" t="n">
        <f aca="false">IFERROR(__xludf.dummyfunction("FILTER(FILTER('Data Scenarios 3-4'!$A$2:$BX$105,'Data Scenarios 3-4'!$A$1:$BX$1=""I_LED_1""),'Data Scenarios 3-4'!$B$2:$B$105=$A10,'Data Scenarios 3-4'!$C$2:$C$105=""All"",'Data Scenarios 3-4'!$D$2:$D$105=""Mean"")"),1.21563461272842)</f>
        <v>1.21563461272842</v>
      </c>
      <c r="P10" s="65" t="n">
        <f aca="false">IFERROR(__xludf.dummyfunction("FILTER(FILTER('Data Scenarios 3-4'!$A$2:$BX$105,'Data Scenarios 3-4'!$A$1:$BX$1=""P_LED_1""),'Data Scenarios 3-4'!$B$2:$B$105=$A10,'Data Scenarios 3-4'!$C$2:$C$105=""All"",'Data Scenarios 3-4'!$D$2:$D$105=""Mean"")"),29.2880039106994)</f>
        <v>29.2880039106994</v>
      </c>
      <c r="Q10" s="69" t="n">
        <f aca="false">N10*O10</f>
        <v>29.2880040411872</v>
      </c>
      <c r="R10" s="38" t="n">
        <f aca="false">IFERROR(__xludf.dummyfunction("FILTER(FILTER('Data Scenarios 3-4'!$A$2:$BX$105,'Data Scenarios 3-4'!$A$1:$BX$1=""V_LED_2""),'Data Scenarios 3-4'!$B$2:$B$105=$A10,'Data Scenarios 3-4'!$C$2:$C$105=""All"",'Data Scenarios 3-4'!$D$2:$D$105=""Mean"")"),23.9921609333333)</f>
        <v>23.9921609333333</v>
      </c>
      <c r="S10" s="38" t="n">
        <f aca="false">IFERROR(__xludf.dummyfunction("FILTER(FILTER('Data Scenarios 3-4'!$A$2:$BX$105,'Data Scenarios 3-4'!$A$1:$BX$1=""I_LED_2""),'Data Scenarios 3-4'!$B$2:$B$105=$A10,'Data Scenarios 3-4'!$C$2:$C$105=""All"",'Data Scenarios 3-4'!$D$2:$D$105=""Mean"")"),1.21327384044194)</f>
        <v>1.21327384044194</v>
      </c>
      <c r="T10" s="65" t="n">
        <f aca="false">IFERROR(__xludf.dummyfunction("FILTER(FILTER('Data Scenarios 3-4'!$A$2:$BX$105,'Data Scenarios 3-4'!$A$1:$BX$1=""P_LED_2""),'Data Scenarios 3-4'!$B$2:$B$105=$A10,'Data Scenarios 3-4'!$C$2:$C$105=""All"",'Data Scenarios 3-4'!$D$2:$D$105=""Mean"")"),29.109061256602)</f>
        <v>29.109061256602</v>
      </c>
      <c r="U10" s="69" t="n">
        <f aca="false">R10*S10</f>
        <v>29.1090612360864</v>
      </c>
      <c r="V10" s="38" t="n">
        <f aca="false">IFERROR(__xludf.dummyfunction("FILTER(FILTER('Data Scenarios 3-4'!$A$2:$BX$105,'Data Scenarios 3-4'!$A$1:$BX$1=""V_LED_3""),'Data Scenarios 3-4'!$B$2:$B$105=$A10,'Data Scenarios 3-4'!$C$2:$C$105=""All"",'Data Scenarios 3-4'!$D$2:$D$105=""Mean"")"),24.0134244194444)</f>
        <v>24.0134244194444</v>
      </c>
      <c r="W10" s="38" t="n">
        <f aca="false">IFERROR(__xludf.dummyfunction("FILTER(FILTER('Data Scenarios 3-4'!$A$2:$BX$105,'Data Scenarios 3-4'!$A$1:$BX$1=""I_LED_3""),'Data Scenarios 3-4'!$B$2:$B$105=$A10,'Data Scenarios 3-4'!$C$2:$C$105=""All"",'Data Scenarios 3-4'!$D$2:$D$105=""Mean"")"),1.18435014377328)</f>
        <v>1.18435014377328</v>
      </c>
      <c r="X10" s="65" t="n">
        <f aca="false">IFERROR(__xludf.dummyfunction("FILTER(FILTER('Data Scenarios 3-4'!$A$2:$BX$105,'Data Scenarios 3-4'!$A$1:$BX$1=""P_LED_3""),'Data Scenarios 3-4'!$B$2:$B$105=$A10,'Data Scenarios 3-4'!$C$2:$C$105=""All"",'Data Scenarios 3-4'!$D$2:$D$105=""Mean"")"),28.4403025651083)</f>
        <v>28.4403025651083</v>
      </c>
      <c r="Y10" s="69" t="n">
        <f aca="false">V10*W10</f>
        <v>28.4403026636578</v>
      </c>
      <c r="Z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A10" s="122" t="n">
        <v>0.012693</v>
      </c>
      <c r="AB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3-4'!$D$2:$D$105=""Mean"")"),193.349756944444)</f>
        <v>193.349756944444</v>
      </c>
      <c r="AC10" s="123" t="n">
        <f aca="false">Z10^2*AA10</f>
        <v>190.479740586645</v>
      </c>
      <c r="AD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E10" s="112" t="n">
        <v>0</v>
      </c>
      <c r="AF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3-4'!$D$2:$D$105=""Mean"")"),0)</f>
        <v>0</v>
      </c>
      <c r="AG10" s="126" t="n">
        <f aca="false">AD10^2*AE10</f>
        <v>0</v>
      </c>
      <c r="AH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I10" s="122" t="n">
        <v>0.012295</v>
      </c>
      <c r="AJ10" s="41" t="n">
        <f aca="false">IFERROR(__xludf.dummyfunction("FILTER(FILTER('Data Scenarios 3-4'!$A$2:$BX$105,'Data Scenarios 3-4'!$A$1:$BX$1=""P_HEATER_1_C""),'Data Scenarios 3-4'!$B$2:$B$105=$A10,'Data Scenarios 3-4'!$C$2:$C$105=""All"",'Data Scenarios 3-4'!$D$2:$D$105=""Mean"")"),188.950756944444)</f>
        <v>188.950756944444</v>
      </c>
      <c r="AK10" s="123" t="n">
        <f aca="false">AH10^2*AI10</f>
        <v>178.561872143552</v>
      </c>
      <c r="AL10" s="111" t="n">
        <f aca="false">IFERROR(__xludf.dummyfunction("FILTER(FILTER('Data Scenarios 3-4'!$A$2:$BX$105,'Data Scenarios 3-4'!$A$1:$BX$1=""V_an""),'Data Scenarios 3-4'!$B$2:$B$105=$A10,'Data Scenarios 3-4'!$C$2:$C$105=""All"",'Data Scenarios 3-4'!$D$2:$D$105=""Mean"")"),122.501739444444)</f>
        <v>122.501739444444</v>
      </c>
      <c r="AM10" s="112" t="n">
        <v>0</v>
      </c>
      <c r="AN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3-4'!$D$2:$D$105=""Mean"")"),0)</f>
        <v>0</v>
      </c>
      <c r="AO10" s="126" t="n">
        <f aca="false">AL10^2*AM10</f>
        <v>0</v>
      </c>
      <c r="AP10" s="111" t="n">
        <f aca="false">IFERROR(__xludf.dummyfunction("FILTER(FILTER('Data Scenarios 3-4'!$A$2:$BX$105,'Data Scenarios 3-4'!$A$1:$BX$1=""V_bn""),'Data Scenarios 3-4'!$B$2:$B$105=$A10,'Data Scenarios 3-4'!$C$2:$C$105=""All"",'Data Scenarios 3-4'!$D$2:$D$105=""Mean"")"),121.425230555555)</f>
        <v>121.425230555555</v>
      </c>
      <c r="AQ10" s="122" t="n">
        <v>0.026084</v>
      </c>
      <c r="AR10" s="41" t="n">
        <f aca="false">IFERROR(__xludf.dummyfunction("FILTER(FILTER('Data Scenarios 3-4'!$A$2:$BX$105,'Data Scenarios 3-4'!$A$1:$BX$1=""P_HEATER_2_B""),'Data Scenarios 3-4'!$B$2:$B$105=$A10,'Data Scenarios 3-4'!$C$2:$C$105=""All"",'Data Scenarios 3-4'!$D$2:$D$105=""Mean"")"),384.673736111111)</f>
        <v>384.673736111111</v>
      </c>
      <c r="AS10" s="123" t="n">
        <f aca="false">AP10^2*AQ10</f>
        <v>384.584755277911</v>
      </c>
      <c r="AT10" s="111" t="n">
        <f aca="false">IFERROR(__xludf.dummyfunction("FILTER(FILTER('Data Scenarios 3-4'!$A$2:$BX$105,'Data Scenarios 3-4'!$A$1:$BX$1=""V_cn""),'Data Scenarios 3-4'!$B$2:$B$105=$A10,'Data Scenarios 3-4'!$C$2:$C$105=""All"",'Data Scenarios 3-4'!$D$2:$D$105=""Mean"")"),120.511945833333)</f>
        <v>120.511945833333</v>
      </c>
      <c r="AU10" s="122" t="n">
        <v>0.026594</v>
      </c>
      <c r="AV10" s="41" t="n">
        <f aca="false">IFERROR(__xludf.dummyfunction("FILTER(FILTER('Data Scenarios 3-4'!$A$2:$BX$105,'Data Scenarios 3-4'!$A$1:$BX$1=""P_HEATER_2_C""),'Data Scenarios 3-4'!$B$2:$B$105=$A10,'Data Scenarios 3-4'!$C$2:$C$105=""All"",'Data Scenarios 3-4'!$D$2:$D$105=""Mean"")"),396.256420138888)</f>
        <v>396.256420138888</v>
      </c>
      <c r="AW10" s="123" t="n">
        <f aca="false">AT10^2*AU10</f>
        <v>386.228094980531</v>
      </c>
      <c r="AX10" s="44" t="n">
        <f aca="false">IFERROR(__xludf.dummyfunction("FILTER(FILTER('Data Scenarios 3-4'!$A$2:$BX$105,'Data Scenarios 3-4'!$A$1:$BX$1=""P_In""),'Data Scenarios 3-4'!$B$2:$B$105=$A10,'Data Scenarios 3-4'!$C$2:$C$105=""All"",'Data Scenarios 3-4'!$D$2:$D$105=""Mean"")"),1612.94196277777)</f>
        <v>1612.94196277777</v>
      </c>
      <c r="AY10" s="74" t="n">
        <f aca="false">IFERROR(__xludf.dummyfunction("FILTER(FILTER('Data Scenarios 3-4'!$A$2:$BX$105,'Data Scenarios 3-4'!$A$1:$BX$1=""P_Secondary""),'Data Scenarios 3-4'!$B$2:$B$105=$A10,'Data Scenarios 3-4'!$C$2:$C$105=""All"",'Data Scenarios 3-4'!$D$2:$D$105=""Mean"")"),1523.37076944444)</f>
        <v>1523.37076944444</v>
      </c>
      <c r="AZ10" s="59" t="n">
        <f aca="false">IFERROR(__xludf.dummyfunction("FILTER(FILTER('Data Scenarios 3-4'!$A$2:$BX$105,'Data Scenarios 3-4'!$A$1:$BX$1=""P_Out""),'Data Scenarios 3-4'!$B$2:$B$105=$A10,'Data Scenarios 3-4'!$C$2:$C$105=""All"",'Data Scenarios 3-4'!$D$2:$D$105=""Mean"")"),1456.91138552784)</f>
        <v>1456.91138552784</v>
      </c>
      <c r="BA10" s="114" t="n">
        <f aca="false">E10+I10+M10+Q10+U10+Y10+AC10+AG10+AK10+AO10+AS10+AW10</f>
        <v>1433.53531039349</v>
      </c>
      <c r="BB10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BC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BD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BE10" s="54" t="n">
        <f aca="false">IFERROR(__xludf.dummyfunction("FILTER(FILTER('Data Scenarios 3-4'!$A$2:$BX$105,'Data Scenarios 3-4'!$A$1:$BX$1=""V_LAPTOP_3_OUTPUT""),'Data Scenarios 3-4'!$B$2:$B$105=$A10,'Data Scenarios 3-4'!$C$2:$C$105=""All"",'Data Scenarios 3-4'!$D$2:$D$105=""Standard Deviation"")"),0.00212622245146795)</f>
        <v>0.00212622245146795</v>
      </c>
      <c r="BF10" s="48" t="n">
        <f aca="false">IFERROR(__xludf.dummyfunction("FILTER(FILTER('Data Scenarios 3-4'!$A$2:$BX$105,'Data Scenarios 3-4'!$A$1:$BX$1=""I_LAPTOP_3_OUTPUT""),'Data Scenarios 3-4'!$B$2:$B$105=$A10,'Data Scenarios 3-4'!$C$2:$C$105=""All"",'Data Scenarios 3-4'!$D$2:$D$105=""Standard Deviation"")"),0.00607615995450657)</f>
        <v>0.00607615995450657</v>
      </c>
      <c r="BG10" s="52" t="n">
        <f aca="false">IFERROR(__xludf.dummyfunction("FILTER(FILTER('Data Scenarios 3-4'!$A$2:$BX$105,'Data Scenarios 3-4'!$A$1:$BX$1=""V_LAPTOP_3_OUTPUT * I_LAPTOP_3_OUTPUT""),'Data Scenarios 3-4'!$B$2:$B$105=$A10,'Data Scenarios 3-4'!$C$2:$C$105=""All"",'Data Scenarios 3-4'!$D$2:$D$105=""Covariance"")"),0.00000871008886021802)</f>
        <v>8.71008886021802E-006</v>
      </c>
      <c r="BH10" s="50" t="n">
        <f aca="false">IFERROR(__xludf.dummyfunction("FILTER(FILTER('Data Scenarios 3-4'!$A$2:$BX$105,'Data Scenarios 3-4'!$A$1:$BX$1=""P_LAPTOP_3_OUTPUT""),'Data Scenarios 3-4'!$B$2:$B$105=$A10,'Data Scenarios 3-4'!$C$2:$C$105=""All"",'Data Scenarios 3-4'!$D$2:$D$105=""Standard Deviation"")"),0.116340088404687)</f>
        <v>0.116340088404687</v>
      </c>
      <c r="BI10" s="51" t="n">
        <f aca="false">SQRT(BE10^2*(C10)^2+BF10^2*(B10)^2+2*BG10*(C10)*(B10))</f>
        <v>0.116339538327379</v>
      </c>
      <c r="BJ10" s="47" t="n">
        <f aca="false">IFERROR(__xludf.dummyfunction("FILTER(FILTER('Data Scenarios 3-4'!$A$2:$BX$105,'Data Scenarios 3-4'!$A$1:$BX$1=""V_LAPTOP_4_OUTPUT""),'Data Scenarios 3-4'!$B$2:$B$105=$A10,'Data Scenarios 3-4'!$C$2:$C$105=""All"",'Data Scenarios 3-4'!$D$2:$D$105=""Standard Deviation"")"),0.000302986150098879)</f>
        <v>0.000302986150098879</v>
      </c>
      <c r="BK10" s="48" t="n">
        <f aca="false">IFERROR(__xludf.dummyfunction("FILTER(FILTER('Data Scenarios 3-4'!$A$2:$BX$105,'Data Scenarios 3-4'!$A$1:$BX$1=""I_LAPTOP_4_OUTPUT""),'Data Scenarios 3-4'!$B$2:$B$105=$A10,'Data Scenarios 3-4'!$C$2:$C$105=""All"",'Data Scenarios 3-4'!$D$2:$D$105=""Standard Deviation"")"),0.000619466750063848)</f>
        <v>0.000619466750063848</v>
      </c>
      <c r="BL10" s="81" t="n">
        <f aca="false">IFERROR(__xludf.dummyfunction("FILTER(FILTER('Data Scenarios 3-4'!$A$2:$BX$105,'Data Scenarios 3-4'!$A$1:$BX$1=""V_LAPTOP_4_OUTPUT * I_LAPTOP_4_OUTPUT""),'Data Scenarios 3-4'!$B$2:$B$105=$A10,'Data Scenarios 3-4'!$C$2:$C$105=""All"",'Data Scenarios 3-4'!$D$2:$D$105=""Covariance"")"),0.000000184805323363905)</f>
        <v>1.84805323363905E-007</v>
      </c>
      <c r="BM10" s="50" t="n">
        <f aca="false">IFERROR(__xludf.dummyfunction("FILTER(FILTER('Data Scenarios 3-4'!$A$2:$BX$105,'Data Scenarios 3-4'!$A$1:$BX$1=""P_LAPTOP_4_OUTPUT""),'Data Scenarios 3-4'!$B$2:$B$105=$A10,'Data Scenarios 3-4'!$C$2:$C$105=""All"",'Data Scenarios 3-4'!$D$2:$D$105=""Standard Deviation"")"),0.0124634052413473)</f>
        <v>0.0124634052413473</v>
      </c>
      <c r="BN10" s="51" t="n">
        <f aca="false">SQRT(BJ10^2*(G10)^2+BK10^2*(F10)^2+2*BL10*(G10)*(F10))</f>
        <v>0.0124633390968502</v>
      </c>
      <c r="BO10" s="47" t="n">
        <f aca="false">IFERROR(__xludf.dummyfunction("FILTER(FILTER('Data Scenarios 3-4'!$A$2:$BX$105,'Data Scenarios 3-4'!$A$1:$BX$1=""V_LAPTOP_5_OUTPUT""),'Data Scenarios 3-4'!$B$2:$B$105=$A10,'Data Scenarios 3-4'!$C$2:$C$105=""All"",'Data Scenarios 3-4'!$D$2:$D$105=""Standard Deviation"")"),0.00202567954260672)</f>
        <v>0.00202567954260672</v>
      </c>
      <c r="BP10" s="48" t="n">
        <f aca="false">IFERROR(__xludf.dummyfunction("FILTER(FILTER('Data Scenarios 3-4'!$A$2:$BX$105,'Data Scenarios 3-4'!$A$1:$BX$1=""I_LAPTOP_5_OUTPUT""),'Data Scenarios 3-4'!$B$2:$B$105=$A10,'Data Scenarios 3-4'!$C$2:$C$105=""All"",'Data Scenarios 3-4'!$D$2:$D$105=""Standard Deviation"")"),0.0258905609389461)</f>
        <v>0.0258905609389461</v>
      </c>
      <c r="BQ10" s="52" t="n">
        <f aca="false">IFERROR(__xludf.dummyfunction("FILTER(FILTER('Data Scenarios 3-4'!$A$2:$BX$105,'Data Scenarios 3-4'!$A$1:$BX$1=""V_LAPTOP_5_OUTPUT * I_LAPTOP_5_OUTPUT""),'Data Scenarios 3-4'!$B$2:$B$105=$A10,'Data Scenarios 3-4'!$C$2:$C$105=""All"",'Data Scenarios 3-4'!$D$2:$D$105=""Covariance"")"),-0.0000412618212532579)</f>
        <v>-4.12618212532579E-005</v>
      </c>
      <c r="BR10" s="50" t="n">
        <f aca="false">IFERROR(__xludf.dummyfunction("FILTER(FILTER('Data Scenarios 3-4'!$A$2:$BX$105,'Data Scenarios 3-4'!$A$1:$BX$1=""P_LAPTOP_5_OUTPUT""),'Data Scenarios 3-4'!$B$2:$B$105=$A10,'Data Scenarios 3-4'!$C$2:$C$105=""All"",'Data Scenarios 3-4'!$D$2:$D$105=""Standard Deviation"")"),0.468969730489839)</f>
        <v>0.468969730489839</v>
      </c>
      <c r="BS10" s="51" t="n">
        <f aca="false">SQRT(BO10^2*(K10)^2+BP10^2*(J10)^2+2*BQ10*(K10)*(J10))</f>
        <v>0.468985883118486</v>
      </c>
      <c r="BT10" s="54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BU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BV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BW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BX10" s="73" t="n">
        <f aca="false">SQRT(BT10^2*(O10)^2+BU10^2*(N10)^2+2*BV10*(O10)*(N10))</f>
        <v>0.0314526409475967</v>
      </c>
      <c r="BY10" s="47" t="n">
        <f aca="false">IFERROR(__xludf.dummyfunction("FILTER(FILTER('Data Scenarios 3-4'!$A$2:$BX$105,'Data Scenarios 3-4'!$A$1:$BX$1=""V_LED_2""),'Data Scenarios 3-4'!$B$2:$B$105=$A10,'Data Scenarios 3-4'!$C$2:$C$105=""All"",'Data Scenarios 3-4'!$D$2:$D$105=""Standard Deviation"")"),0.000280348913681495)</f>
        <v>0.000280348913681495</v>
      </c>
      <c r="BZ10" s="48" t="n">
        <f aca="false">IFERROR(__xludf.dummyfunction("FILTER(FILTER('Data Scenarios 3-4'!$A$2:$BX$105,'Data Scenarios 3-4'!$A$1:$BX$1=""I_LED_2""),'Data Scenarios 3-4'!$B$2:$B$105=$A10,'Data Scenarios 3-4'!$C$2:$C$105=""All"",'Data Scenarios 3-4'!$D$2:$D$105=""Standard Deviation"")"),0.000280640422373589)</f>
        <v>0.000280640422373589</v>
      </c>
      <c r="CA10" s="52" t="n">
        <f aca="false">IFERROR(__xludf.dummyfunction("FILTER(FILTER('Data Scenarios 3-4'!$A$2:$BX$105,'Data Scenarios 3-4'!$A$1:$BX$1=""V_LED_2 * I_LED_2""),'Data Scenarios 3-4'!$B$2:$B$105=$A10,'Data Scenarios 3-4'!$C$2:$C$105=""All"",'Data Scenarios 3-4'!$D$2:$D$105=""Covariance"")"),0.0000000135402871821088)</f>
        <v>1.35402871821088E-008</v>
      </c>
      <c r="CB10" s="38" t="n">
        <f aca="false">IFERROR(__xludf.dummyfunction("FILTER(FILTER('Data Scenarios 3-4'!$A$2:$BX$105,'Data Scenarios 3-4'!$A$1:$BX$1=""P_LED_2""),'Data Scenarios 3-4'!$B$2:$B$105=$A10,'Data Scenarios 3-4'!$C$2:$C$105=""All"",'Data Scenarios 3-4'!$D$2:$D$105=""Standard Deviation"")"),0.00679999988952617)</f>
        <v>0.00679999988952617</v>
      </c>
      <c r="CC10" s="71" t="n">
        <f aca="false">SQRT(BY10^2*(S10)^2+BZ10^2*(R10)^2+2*CA10*(S10)*(R10))</f>
        <v>0.006799968085583</v>
      </c>
      <c r="CD10" s="47" t="n">
        <f aca="false">IFERROR(__xludf.dummyfunction("FILTER(FILTER('Data Scenarios 3-4'!$A$2:$BX$105,'Data Scenarios 3-4'!$A$1:$BX$1=""V_LED_1""),'Data Scenarios 3-4'!$B$2:$B$105=$A10,'Data Scenarios 3-4'!$C$2:$C$105=""All"",'Data Scenarios 3-4'!$D$2:$D$105=""Standard Deviation"")"),0.000129406972789273)</f>
        <v>0.000129406972789273</v>
      </c>
      <c r="CE10" s="70" t="n">
        <f aca="false">IFERROR(__xludf.dummyfunction("FILTER(FILTER('Data Scenarios 3-4'!$A$2:$BX$105,'Data Scenarios 3-4'!$A$1:$BX$1=""I_LED_1""),'Data Scenarios 3-4'!$B$2:$B$105=$A10,'Data Scenarios 3-4'!$C$2:$C$105=""All"",'Data Scenarios 3-4'!$D$2:$D$105=""Standard Deviation"")"),0.00131152988632393)</f>
        <v>0.00131152988632393</v>
      </c>
      <c r="CF10" s="52" t="n">
        <f aca="false">IFERROR(__xludf.dummyfunction("FILTER(FILTER('Data Scenarios 3-4'!$A$2:$BX$105,'Data Scenarios 3-4'!$A$1:$BX$1=""V_LED_1 * I_LED_1""),'Data Scenarios 3-4'!$B$2:$B$105=$A10,'Data Scenarios 3-4'!$C$2:$C$105=""All"",'Data Scenarios 3-4'!$D$2:$D$105=""Covariance"")"),-0.000000157302765451203)</f>
        <v>-1.57302765451203E-007</v>
      </c>
      <c r="CG10" s="50" t="n">
        <f aca="false">IFERROR(__xludf.dummyfunction("FILTER(FILTER('Data Scenarios 3-4'!$A$2:$BX$105,'Data Scenarios 3-4'!$A$1:$BX$1=""P_LED_1""),'Data Scenarios 3-4'!$B$2:$B$105=$A10,'Data Scenarios 3-4'!$C$2:$C$105=""All"",'Data Scenarios 3-4'!$D$2:$D$105=""Standard Deviation"")"),0.0314527385562456)</f>
        <v>0.0314527385562456</v>
      </c>
      <c r="CH10" s="71" t="n">
        <f aca="false">SQRT(CD10^2*(W10)^2+CE10^2*(V10)^2+2*CF10*(W10)*(V10))</f>
        <v>0.0313523275793236</v>
      </c>
      <c r="CI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J10" s="125" t="n">
        <v>2.3E-005</v>
      </c>
      <c r="CK10" s="41" t="n">
        <f aca="false">IFERROR(__xludf.dummyfunction("FILTER(FILTER('Data Scenarios 3-4'!$A$2:$BX$105,'Data Scenarios 3-4'!$A$1:$BX$1=""P_HEATER_1_A""),'Data Scenarios 3-4'!$B$2:$B$105=$A10,'Data Scenarios 3-4'!$C$2:$C$105=""All"",'Data Scenarios 3-4'!$D$2:$D$105=""Standard Deviation"")"),0.0331980087289075)</f>
        <v>0.0331980087289075</v>
      </c>
      <c r="CL10" s="117" t="n">
        <f aca="false">SQRT(CI10^2*(2*Z10*AA10)^2+CJ10^2*(Z10^2)^2)</f>
        <v>0.447600666991126</v>
      </c>
      <c r="CM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N10" s="116" t="n">
        <v>0</v>
      </c>
      <c r="CO10" s="41" t="n">
        <f aca="false">IFERROR(__xludf.dummyfunction("FILTER(FILTER('Data Scenarios 3-4'!$A$2:$BX$105,'Data Scenarios 3-4'!$A$1:$BX$1=""P_HEATER_1_B""),'Data Scenarios 3-4'!$B$2:$B$105=$A10,'Data Scenarios 3-4'!$C$2:$C$105=""All"",'Data Scenarios 3-4'!$D$2:$D$105=""Standard Deviation"")"),0)</f>
        <v>0</v>
      </c>
      <c r="CP10" s="117" t="n">
        <f aca="false">SQRT(CM10^2*(2*AD10*AE10)^2+CN10^2*(AD10^2)^2)</f>
        <v>0</v>
      </c>
      <c r="CQ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CR10" s="125" t="n">
        <v>2.2E-005</v>
      </c>
      <c r="CS10" s="38" t="n">
        <f aca="false">IFERROR(__xludf.dummyfunction("FILTER(FILTER('Data Scenarios 3-4'!$A$2:$BX$105,'Data Scenarios 3-4'!$A$1:$BX$1=""P_HEATER_1_C""),'Data Scenarios 3-4'!$B$2:$B$105=$A10,'Data Scenarios 3-4'!$C$2:$C$105=""All"",'Data Scenarios 3-4'!$D$2:$D$105=""Standard Deviation"")"),0.233907279680562)</f>
        <v>0.233907279680562</v>
      </c>
      <c r="CT10" s="117" t="n">
        <f aca="false">SQRT(CQ10^2*(2*AH10*AI10)^2+CR10^2*(AH10^2)^2)</f>
        <v>0.334240357273517</v>
      </c>
      <c r="CU10" s="127" t="n">
        <f aca="false">IFERROR(__xludf.dummyfunction("FILTER(FILTER('Data Scenarios 3-4'!$A$2:$BX$105,'Data Scenarios 3-4'!$A$1:$BX$1=""V_an""),'Data Scenarios 3-4'!$B$2:$B$105=$A10,'Data Scenarios 3-4'!$C$2:$C$105=""All"",'Data Scenarios 3-4'!$D$2:$D$105=""Standard Deviation"")"),0.0916394800758061)</f>
        <v>0.0916394800758061</v>
      </c>
      <c r="CV10" s="116" t="n">
        <v>0</v>
      </c>
      <c r="CW10" s="41" t="n">
        <f aca="false">IFERROR(__xludf.dummyfunction("FILTER(FILTER('Data Scenarios 3-4'!$A$2:$BX$105,'Data Scenarios 3-4'!$A$1:$BX$1=""P_HEATER_2_A""),'Data Scenarios 3-4'!$B$2:$B$105=$A10,'Data Scenarios 3-4'!$C$2:$C$105=""All"",'Data Scenarios 3-4'!$D$2:$D$105=""Standard Deviation"")"),0)</f>
        <v>0</v>
      </c>
      <c r="CX10" s="117" t="n">
        <f aca="false">SQRT(CU10^2*(2*AL10*AM10)^2+CV10^2*(AL10^2)^2)</f>
        <v>0</v>
      </c>
      <c r="CY10" s="115" t="n">
        <f aca="false">IFERROR(__xludf.dummyfunction("FILTER(FILTER('Data Scenarios 3-4'!$A$2:$BX$105,'Data Scenarios 3-4'!$A$1:$BX$1=""V_bn""),'Data Scenarios 3-4'!$B$2:$B$105=$A10,'Data Scenarios 3-4'!$C$2:$C$105=""All"",'Data Scenarios 3-4'!$D$2:$D$105=""Standard Deviation"")"),0.0176959229519236)</f>
        <v>0.0176959229519236</v>
      </c>
      <c r="CZ10" s="125" t="n">
        <v>3.3E-005</v>
      </c>
      <c r="DA10" s="65" t="n">
        <f aca="false">IFERROR(__xludf.dummyfunction("FILTER(FILTER('Data Scenarios 3-4'!$A$2:$BX$105,'Data Scenarios 3-4'!$A$1:$BX$1=""P_HEATER_2_B""),'Data Scenarios 3-4'!$B$2:$B$105=$A10,'Data Scenarios 3-4'!$C$2:$C$105=""All"",'Data Scenarios 3-4'!$D$2:$D$105=""Standard Deviation"")"),0.632799322936653)</f>
        <v>0.632799322936653</v>
      </c>
      <c r="DB10" s="117" t="n">
        <f aca="false">SQRT(CY10^2*(2*AP10*AQ10)^2+CZ10^2*(AP10^2)^2)</f>
        <v>0.499300435645363</v>
      </c>
      <c r="DC10" s="115" t="n">
        <f aca="false">IFERROR(__xludf.dummyfunction("FILTER(FILTER('Data Scenarios 3-4'!$A$2:$BX$105,'Data Scenarios 3-4'!$A$1:$BX$1=""V_cn""),'Data Scenarios 3-4'!$B$2:$B$105=$A10,'Data Scenarios 3-4'!$C$2:$C$105=""All"",'Data Scenarios 3-4'!$D$2:$D$105=""Standard Deviation"")"),0.0331162152816903)</f>
        <v>0.0331162152816903</v>
      </c>
      <c r="DD10" s="125" t="n">
        <v>3.5E-005</v>
      </c>
      <c r="DE10" s="65" t="n">
        <f aca="false">IFERROR(__xludf.dummyfunction("FILTER(FILTER('Data Scenarios 3-4'!$A$2:$BX$105,'Data Scenarios 3-4'!$A$1:$BX$1=""P_HEATER_2_C""),'Data Scenarios 3-4'!$B$2:$B$105=$A10,'Data Scenarios 3-4'!$C$2:$C$105=""All"",'Data Scenarios 3-4'!$D$2:$D$105=""Standard Deviation"")"),0.341421983227205)</f>
        <v>0.341421983227205</v>
      </c>
      <c r="DF10" s="117" t="n">
        <f aca="false">SQRT(DC10^2*(2*AT10*AU10)^2+DD10^2*(AT10^2)^2)</f>
        <v>0.550850483427501</v>
      </c>
      <c r="DG10" s="57" t="n">
        <f aca="false">IFERROR(__xludf.dummyfunction("FILTER(FILTER('Data Scenarios 3-4'!$A$2:$BX$105,'Data Scenarios 3-4'!$A$1:$BX$1=""P_In""),'Data Scenarios 3-4'!$B$2:$B$105=$A10,'Data Scenarios 3-4'!$C$2:$C$105=""All"",'Data Scenarios 3-4'!$D$2:$D$105=""Standard Deviation"")"),0.484133005479684)</f>
        <v>0.484133005479684</v>
      </c>
      <c r="DH10" s="57" t="n">
        <f aca="false">IFERROR(__xludf.dummyfunction("FILTER(FILTER('Data Scenarios 3-4'!$A$2:$BX$105,'Data Scenarios 3-4'!$A$1:$BX$1=""P_Secondary""),'Data Scenarios 3-4'!$B$2:$B$105=$A10,'Data Scenarios 3-4'!$C$2:$C$105=""All"",'Data Scenarios 3-4'!$D$2:$D$105=""Standard Deviation"")"),0.569489944660747)</f>
        <v>0.569489944660747</v>
      </c>
      <c r="DI10" s="74" t="n">
        <f aca="false">IFERROR(__xludf.dummyfunction("FILTER(FILTER('Data Scenarios 3-4'!$A$2:$BX$105,'Data Scenarios 3-4'!$A$1:$BX$1=""P_Out""),'Data Scenarios 3-4'!$B$2:$B$105=$A10,'Data Scenarios 3-4'!$C$2:$C$105=""All"",'Data Scenarios 3-4'!$D$2:$D$105=""Standard Deviation"")"),0.712608522091226)</f>
        <v>0.712608522091226</v>
      </c>
      <c r="DJ10" s="62" t="n">
        <f aca="false">SQRT(BH10^2+BM10^2+BR10^2+BW10^2+CB10^2+CG10^2+CK10^2+CO10^2+CS10^2+CW10^2+DA10^2+DE10^2)</f>
        <v>0.899147611513713</v>
      </c>
      <c r="DK10" s="74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3-4'!$D$2:$D$105=""Standard Deviation"")"),0.263807296862262)</f>
        <v>0.263807296862262</v>
      </c>
      <c r="DL10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3-4'!$D$2:$D$105=""Standard Deviation"")"),0.158112130067924)</f>
        <v>0.158112130067924</v>
      </c>
      <c r="DM10" s="75" t="n">
        <f aca="false">SQRT(DH10^2+MAX(DI10:DJ10)^2)</f>
        <v>1.06432383434766</v>
      </c>
      <c r="DN10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3-4'!$D$2:$D$105=""Standard Deviation"")"),0.316241158864084)</f>
        <v>0.316241158864084</v>
      </c>
      <c r="DO10" s="75" t="n">
        <f aca="false">SQRT(DG10^2+MAX(DI10:DJ10)^2)</f>
        <v>1.02120085893305</v>
      </c>
      <c r="DP10" s="119" t="n">
        <v>1596.91250617443</v>
      </c>
      <c r="DQ10" s="120" t="n">
        <v>1505.64628067342</v>
      </c>
      <c r="DR10" s="120" t="n">
        <v>91.2662255010139</v>
      </c>
      <c r="DS10" s="120" t="n">
        <v>48.7352806734187</v>
      </c>
      <c r="DT10" s="120" t="n">
        <v>140.001506174433</v>
      </c>
      <c r="DU10" s="121" t="n">
        <f aca="false">DP10-AX10</f>
        <v>-16.0294566033399</v>
      </c>
      <c r="DV10" s="65" t="n">
        <f aca="false">TINV(0.1,2)*DG10/SQRT(3)</f>
        <v>0.816177786931214</v>
      </c>
      <c r="DW10" s="66" t="n">
        <f aca="false">DU10/AX10</f>
        <v>-0.00993802441331141</v>
      </c>
      <c r="DX10" s="67" t="n">
        <f aca="false">DV10/AX10</f>
        <v>0.000506018074900607</v>
      </c>
      <c r="DY10" s="45" t="n">
        <f aca="false">DQ10-AY10</f>
        <v>-17.7244887710199</v>
      </c>
      <c r="DZ10" s="65" t="n">
        <f aca="false">TINV(0.1,2)*DH10/SQRT(3)</f>
        <v>0.96007716361386</v>
      </c>
      <c r="EA10" s="66" t="n">
        <f aca="false">DY10/AY10</f>
        <v>-0.0116350458644312</v>
      </c>
      <c r="EB10" s="67" t="n">
        <f aca="false">DZ10/AY10</f>
        <v>0.000630232102959407</v>
      </c>
      <c r="EC10" s="45" t="n">
        <f aca="false">DR10-BB10</f>
        <v>1.69503216768061</v>
      </c>
      <c r="ED10" s="65" t="n">
        <f aca="false">TINV(0.1,2)*DK10/SQRT(3)</f>
        <v>0.444740708219246</v>
      </c>
      <c r="EE10" s="66" t="n">
        <f aca="false">EC10/BB10</f>
        <v>0.0189238538038972</v>
      </c>
      <c r="EF10" s="67" t="n">
        <f aca="false">ED10/BB10</f>
        <v>0.00496522030876794</v>
      </c>
      <c r="EG10" s="45" t="n">
        <f aca="false">DS10-BC10</f>
        <v>-17.7241032431797</v>
      </c>
      <c r="EH10" s="65" t="n">
        <f aca="false">TINV(0.1,2)*DL10/SQRT(3)</f>
        <v>0.266554039789039</v>
      </c>
      <c r="EI10" s="66" t="n">
        <f aca="false">EG10/BC10</f>
        <v>-0.266690754542987</v>
      </c>
      <c r="EJ10" s="66" t="n">
        <f aca="false">EH10/BC10</f>
        <v>0.00401078108282713</v>
      </c>
      <c r="EK10" s="45" t="n">
        <f aca="false">DT10-BD10</f>
        <v>-16.029071075498</v>
      </c>
      <c r="EL10" s="65" t="n">
        <f aca="false">TINV(0.1,2)*DN10/SQRT(3)</f>
        <v>0.533136568374457</v>
      </c>
      <c r="EM10" s="66" t="n">
        <f aca="false">EK10/BD10</f>
        <v>-0.102730319646402</v>
      </c>
      <c r="EN10" s="66" t="n">
        <f aca="false">EL10/BD10</f>
        <v>0.00341687237060255</v>
      </c>
    </row>
    <row r="11" customFormat="false" ht="12.8" hidden="false" customHeight="false" outlineLevel="0" collapsed="false">
      <c r="A11" s="37" t="n">
        <v>4.4</v>
      </c>
      <c r="B11" s="38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3-4'!$D$2:$D$105=""Mean"")"),18.20232925)</f>
        <v>18.20232925</v>
      </c>
      <c r="C11" s="65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3-4'!$D$2:$D$105=""Mean"")"),3.87207893218493)</f>
        <v>3.87207893218493</v>
      </c>
      <c r="D11" s="65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3-4'!$D$2:$D$105=""Mean"")"),70.4808550371045)</f>
        <v>70.4808550371045</v>
      </c>
      <c r="E11" s="68" t="n">
        <f aca="false">B11*C11</f>
        <v>70.4808556056185</v>
      </c>
      <c r="F11" s="38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3-4'!$D$2:$D$105=""Mean"")"),18.2476160194444)</f>
        <v>18.2476160194444</v>
      </c>
      <c r="G11" s="3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3-4'!$D$2:$D$105=""Mean"")"),3.88064716490587)</f>
        <v>3.88064716490587</v>
      </c>
      <c r="H11" s="65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3-4'!$D$2:$D$105=""Mean"")"),70.8125592630657)</f>
        <v>70.8125592630657</v>
      </c>
      <c r="I11" s="68" t="n">
        <f aca="false">F11*G11</f>
        <v>70.8125593721478</v>
      </c>
      <c r="J11" s="38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3-4'!$D$2:$D$105=""Mean"")"),18.3335907555555)</f>
        <v>18.3335907555555</v>
      </c>
      <c r="K11" s="3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3-4'!$D$2:$D$105=""Mean"")"),3.58911616598177)</f>
        <v>3.58911616598177</v>
      </c>
      <c r="L11" s="65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3-4'!$D$2:$D$105=""Mean"")"),65.8012922930931)</f>
        <v>65.8012922930931</v>
      </c>
      <c r="M11" s="68" t="n">
        <f aca="false">J11*K11</f>
        <v>65.8013869612582</v>
      </c>
      <c r="N11" s="38" t="n">
        <f aca="false">IFERROR(__xludf.dummyfunction("FILTER(FILTER('Data Scenarios 3-4'!$A$2:$BX$105,'Data Scenarios 3-4'!$A$1:$BX$1=""V_LED_1""),'Data Scenarios 3-4'!$B$2:$B$105=$A11,'Data Scenarios 3-4'!$C$2:$C$105=""All"",'Data Scenarios 3-4'!$D$2:$D$105=""Mean"")"),24.0958041388888)</f>
        <v>24.0958041388888</v>
      </c>
      <c r="O11" s="38" t="n">
        <f aca="false">IFERROR(__xludf.dummyfunction("FILTER(FILTER('Data Scenarios 3-4'!$A$2:$BX$105,'Data Scenarios 3-4'!$A$1:$BX$1=""I_LED_1""),'Data Scenarios 3-4'!$B$2:$B$105=$A11,'Data Scenarios 3-4'!$C$2:$C$105=""All"",'Data Scenarios 3-4'!$D$2:$D$105=""Mean"")"),1.21705191253992)</f>
        <v>1.21705191253992</v>
      </c>
      <c r="P11" s="65" t="n">
        <f aca="false">IFERROR(__xludf.dummyfunction("FILTER(FILTER('Data Scenarios 3-4'!$A$2:$BX$105,'Data Scenarios 3-4'!$A$1:$BX$1=""P_LED_1""),'Data Scenarios 3-4'!$B$2:$B$105=$A11,'Data Scenarios 3-4'!$C$2:$C$105=""All"",'Data Scenarios 3-4'!$D$2:$D$105=""Mean"")"),29.3258450541184)</f>
        <v>29.3258450541184</v>
      </c>
      <c r="Q11" s="69" t="n">
        <f aca="false">N11*O11</f>
        <v>29.3258445114219</v>
      </c>
      <c r="R11" s="38" t="n">
        <f aca="false">IFERROR(__xludf.dummyfunction("FILTER(FILTER('Data Scenarios 3-4'!$A$2:$BX$105,'Data Scenarios 3-4'!$A$1:$BX$1=""V_LED_2""),'Data Scenarios 3-4'!$B$2:$B$105=$A11,'Data Scenarios 3-4'!$C$2:$C$105=""All"",'Data Scenarios 3-4'!$D$2:$D$105=""Mean"")"),23.9912345138888)</f>
        <v>23.9912345138888</v>
      </c>
      <c r="S11" s="38" t="n">
        <f aca="false">IFERROR(__xludf.dummyfunction("FILTER(FILTER('Data Scenarios 3-4'!$A$2:$BX$105,'Data Scenarios 3-4'!$A$1:$BX$1=""I_LED_2""),'Data Scenarios 3-4'!$B$2:$B$105=$A11,'Data Scenarios 3-4'!$C$2:$C$105=""All"",'Data Scenarios 3-4'!$D$2:$D$105=""Mean"")"),1.21407175094976)</f>
        <v>1.21407175094976</v>
      </c>
      <c r="T11" s="65" t="n">
        <f aca="false">IFERROR(__xludf.dummyfunction("FILTER(FILTER('Data Scenarios 3-4'!$A$2:$BX$105,'Data Scenarios 3-4'!$A$1:$BX$1=""P_LED_2""),'Data Scenarios 3-4'!$B$2:$B$105=$A11,'Data Scenarios 3-4'!$C$2:$C$105=""All"",'Data Scenarios 3-4'!$D$2:$D$105=""Mean"")"),29.1270800910998)</f>
        <v>29.1270800910998</v>
      </c>
      <c r="U11" s="69" t="n">
        <f aca="false">R11*S11</f>
        <v>29.1270800937233</v>
      </c>
      <c r="V11" s="38" t="n">
        <f aca="false">IFERROR(__xludf.dummyfunction("FILTER(FILTER('Data Scenarios 3-4'!$A$2:$BX$105,'Data Scenarios 3-4'!$A$1:$BX$1=""V_LED_3""),'Data Scenarios 3-4'!$B$2:$B$105=$A11,'Data Scenarios 3-4'!$C$2:$C$105=""All"",'Data Scenarios 3-4'!$D$2:$D$105=""Mean"")"),24.0101204555555)</f>
        <v>24.0101204555555</v>
      </c>
      <c r="W11" s="38" t="n">
        <f aca="false">IFERROR(__xludf.dummyfunction("FILTER(FILTER('Data Scenarios 3-4'!$A$2:$BX$105,'Data Scenarios 3-4'!$A$1:$BX$1=""I_LED_3""),'Data Scenarios 3-4'!$B$2:$B$105=$A11,'Data Scenarios 3-4'!$C$2:$C$105=""All"",'Data Scenarios 3-4'!$D$2:$D$105=""Mean"")"),1.18462055054014)</f>
        <v>1.18462055054014</v>
      </c>
      <c r="X11" s="65" t="n">
        <f aca="false">IFERROR(__xludf.dummyfunction("FILTER(FILTER('Data Scenarios 3-4'!$A$2:$BX$105,'Data Scenarios 3-4'!$A$1:$BX$1=""P_LED_3""),'Data Scenarios 3-4'!$B$2:$B$105=$A11,'Data Scenarios 3-4'!$C$2:$C$105=""All"",'Data Scenarios 3-4'!$D$2:$D$105=""Mean"")"),28.4428820793702)</f>
        <v>28.4428820793702</v>
      </c>
      <c r="Y11" s="69" t="n">
        <f aca="false">V11*W11</f>
        <v>28.4428821125952</v>
      </c>
      <c r="Z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A11" s="122" t="n">
        <v>0.012693</v>
      </c>
      <c r="AB11" s="41" t="n">
        <f aca="false">IFERROR(__xludf.dummyfunction("FILTER(FILTER('Data Scenarios 3-4'!$A$2:$BX$105,'Data Scenarios 3-4'!$A$1:$BX$1=""P_HEATER_1_A""),'Data Scenarios 3-4'!$B$2:$B$105=$A11,'Data Scenarios 3-4'!$C$2:$C$105=""All"",'Data Scenarios 3-4'!$D$2:$D$105=""Mean"")"),193.108246527777)</f>
        <v>193.108246527777</v>
      </c>
      <c r="AC11" s="123" t="n">
        <f aca="false">Z11^2*AA11</f>
        <v>185.108745630627</v>
      </c>
      <c r="AD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E11" s="112" t="n">
        <v>0</v>
      </c>
      <c r="AF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3-4'!$D$2:$D$105=""Mean"")"),0)</f>
        <v>0</v>
      </c>
      <c r="AG11" s="126" t="n">
        <f aca="false">AD11^2*AE11</f>
        <v>0</v>
      </c>
      <c r="AH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I11" s="112" t="n">
        <v>0</v>
      </c>
      <c r="AJ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3-4'!$D$2:$D$105=""Mean"")"),0)</f>
        <v>0</v>
      </c>
      <c r="AK11" s="126" t="n">
        <f aca="false">AH11^2*AI11</f>
        <v>0</v>
      </c>
      <c r="AL11" s="111" t="n">
        <f aca="false">IFERROR(__xludf.dummyfunction("FILTER(FILTER('Data Scenarios 3-4'!$A$2:$BX$105,'Data Scenarios 3-4'!$A$1:$BX$1=""V_an""),'Data Scenarios 3-4'!$B$2:$B$105=$A11,'Data Scenarios 3-4'!$C$2:$C$105=""All"",'Data Scenarios 3-4'!$D$2:$D$105=""Mean"")"),120.762286944444)</f>
        <v>120.762286944444</v>
      </c>
      <c r="AM11" s="122" t="n">
        <v>0.026068</v>
      </c>
      <c r="AN11" s="41" t="n">
        <f aca="false">IFERROR(__xludf.dummyfunction("FILTER(FILTER('Data Scenarios 3-4'!$A$2:$BX$105,'Data Scenarios 3-4'!$A$1:$BX$1=""P_HEATER_2_A""),'Data Scenarios 3-4'!$B$2:$B$105=$A11,'Data Scenarios 3-4'!$C$2:$C$105=""All"",'Data Scenarios 3-4'!$D$2:$D$105=""Mean"")"),384.362163194444)</f>
        <v>384.362163194444</v>
      </c>
      <c r="AO11" s="123" t="n">
        <f aca="false">AL11^2*AM11</f>
        <v>380.163458685825</v>
      </c>
      <c r="AP11" s="111" t="n">
        <f aca="false">IFERROR(__xludf.dummyfunction("FILTER(FILTER('Data Scenarios 3-4'!$A$2:$BX$105,'Data Scenarios 3-4'!$A$1:$BX$1=""V_bn""),'Data Scenarios 3-4'!$B$2:$B$105=$A11,'Data Scenarios 3-4'!$C$2:$C$105=""All"",'Data Scenarios 3-4'!$D$2:$D$105=""Mean"")"),121.416760277777)</f>
        <v>121.416760277777</v>
      </c>
      <c r="AQ11" s="122" t="n">
        <v>0.026084</v>
      </c>
      <c r="AR11" s="41" t="n">
        <f aca="false">IFERROR(__xludf.dummyfunction("FILTER(FILTER('Data Scenarios 3-4'!$A$2:$BX$105,'Data Scenarios 3-4'!$A$1:$BX$1=""P_HEATER_2_B""),'Data Scenarios 3-4'!$B$2:$B$105=$A11,'Data Scenarios 3-4'!$C$2:$C$105=""All"",'Data Scenarios 3-4'!$D$2:$D$105=""Mean"")"),383.61846875)</f>
        <v>383.61846875</v>
      </c>
      <c r="AS11" s="123" t="n">
        <f aca="false">AP11^2*AQ11</f>
        <v>384.531102077944</v>
      </c>
      <c r="AT11" s="111" t="n">
        <f aca="false">IFERROR(__xludf.dummyfunction("FILTER(FILTER('Data Scenarios 3-4'!$A$2:$BX$105,'Data Scenarios 3-4'!$A$1:$BX$1=""V_cn""),'Data Scenarios 3-4'!$B$2:$B$105=$A11,'Data Scenarios 3-4'!$C$2:$C$105=""All"",'Data Scenarios 3-4'!$D$2:$D$105=""Mean"")"),123.560801666666)</f>
        <v>123.560801666666</v>
      </c>
      <c r="AU11" s="112" t="n">
        <v>0</v>
      </c>
      <c r="AV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3-4'!$D$2:$D$105=""Mean"")"),0)</f>
        <v>0</v>
      </c>
      <c r="AW11" s="126" t="n">
        <f aca="false">AT11^2*AU11</f>
        <v>0</v>
      </c>
      <c r="AX11" s="44" t="n">
        <f aca="false">IFERROR(__xludf.dummyfunction("FILTER(FILTER('Data Scenarios 3-4'!$A$2:$BX$105,'Data Scenarios 3-4'!$A$1:$BX$1=""P_In""),'Data Scenarios 3-4'!$B$2:$B$105=$A11,'Data Scenarios 3-4'!$C$2:$C$105=""All"",'Data Scenarios 3-4'!$D$2:$D$105=""Mean"")"),1407.03367)</f>
        <v>1407.03367</v>
      </c>
      <c r="AY11" s="74" t="n">
        <f aca="false">IFERROR(__xludf.dummyfunction("FILTER(FILTER('Data Scenarios 3-4'!$A$2:$BX$105,'Data Scenarios 3-4'!$A$1:$BX$1=""P_Secondary""),'Data Scenarios 3-4'!$B$2:$B$105=$A11,'Data Scenarios 3-4'!$C$2:$C$105=""All"",'Data Scenarios 3-4'!$D$2:$D$105=""Mean"")"),1322.45051111111)</f>
        <v>1322.45051111111</v>
      </c>
      <c r="AZ11" s="59" t="n">
        <f aca="false">IFERROR(__xludf.dummyfunction("FILTER(FILTER('Data Scenarios 3-4'!$A$2:$BX$105,'Data Scenarios 3-4'!$A$1:$BX$1=""P_Out""),'Data Scenarios 3-4'!$B$2:$B$105=$A11,'Data Scenarios 3-4'!$C$2:$C$105=""All"",'Data Scenarios 3-4'!$D$2:$D$105=""Mean"")"),1255.07939229007)</f>
        <v>1255.07939229007</v>
      </c>
      <c r="BA11" s="114" t="n">
        <f aca="false">E11+I11+M11+Q11+U11+Y11+AC11+AG11+AK11+AO11+AS11+AW11</f>
        <v>1243.79391505116</v>
      </c>
      <c r="BB11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BC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BD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BE11" s="54" t="n">
        <f aca="false">IFERROR(__xludf.dummyfunction("FILTER(FILTER('Data Scenarios 3-4'!$A$2:$BX$105,'Data Scenarios 3-4'!$A$1:$BX$1=""V_LAPTOP_3_OUTPUT""),'Data Scenarios 3-4'!$B$2:$B$105=$A11,'Data Scenarios 3-4'!$C$2:$C$105=""All"",'Data Scenarios 3-4'!$D$2:$D$105=""Standard Deviation"")"),0.00250600033137133)</f>
        <v>0.00250600033137133</v>
      </c>
      <c r="BF11" s="48" t="n">
        <f aca="false">IFERROR(__xludf.dummyfunction("FILTER(FILTER('Data Scenarios 3-4'!$A$2:$BX$105,'Data Scenarios 3-4'!$A$1:$BX$1=""I_LAPTOP_3_OUTPUT""),'Data Scenarios 3-4'!$B$2:$B$105=$A11,'Data Scenarios 3-4'!$C$2:$C$105=""All"",'Data Scenarios 3-4'!$D$2:$D$105=""Standard Deviation"")"),0.00172896632466984)</f>
        <v>0.00172896632466984</v>
      </c>
      <c r="BG11" s="52" t="n">
        <f aca="false">IFERROR(__xludf.dummyfunction("FILTER(FILTER('Data Scenarios 3-4'!$A$2:$BX$105,'Data Scenarios 3-4'!$A$1:$BX$1=""V_LAPTOP_3_OUTPUT * I_LAPTOP_3_OUTPUT""),'Data Scenarios 3-4'!$B$2:$B$105=$A11,'Data Scenarios 3-4'!$C$2:$C$105=""All"",'Data Scenarios 3-4'!$D$2:$D$105=""Covariance"")"),-0.000000624134426828985)</f>
        <v>-6.24134426828985E-007</v>
      </c>
      <c r="BH11" s="50" t="n">
        <f aca="false">IFERROR(__xludf.dummyfunction("FILTER(FILTER('Data Scenarios 3-4'!$A$2:$BX$105,'Data Scenarios 3-4'!$A$1:$BX$1=""P_LAPTOP_3_OUTPUT""),'Data Scenarios 3-4'!$B$2:$B$105=$A11,'Data Scenarios 3-4'!$C$2:$C$105=""All"",'Data Scenarios 3-4'!$D$2:$D$105=""Standard Deviation"")"),0.031567852166165)</f>
        <v>0.031567852166165</v>
      </c>
      <c r="BI11" s="51" t="n">
        <f aca="false">SQRT(BE11^2*(C11)^2+BF11^2*(B11)^2+2*BG11*(C11)*(B11))</f>
        <v>0.0315692072720764</v>
      </c>
      <c r="BJ11" s="47" t="n">
        <f aca="false">IFERROR(__xludf.dummyfunction("FILTER(FILTER('Data Scenarios 3-4'!$A$2:$BX$105,'Data Scenarios 3-4'!$A$1:$BX$1=""V_LAPTOP_4_OUTPUT""),'Data Scenarios 3-4'!$B$2:$B$105=$A11,'Data Scenarios 3-4'!$C$2:$C$105=""All"",'Data Scenarios 3-4'!$D$2:$D$105=""Standard Deviation"")"),0.000159408752272118)</f>
        <v>0.000159408752272118</v>
      </c>
      <c r="BK11" s="48" t="n">
        <f aca="false">IFERROR(__xludf.dummyfunction("FILTER(FILTER('Data Scenarios 3-4'!$A$2:$BX$105,'Data Scenarios 3-4'!$A$1:$BX$1=""I_LAPTOP_4_OUTPUT""),'Data Scenarios 3-4'!$B$2:$B$105=$A11,'Data Scenarios 3-4'!$C$2:$C$105=""All"",'Data Scenarios 3-4'!$D$2:$D$105=""Standard Deviation"")"),0.000858587030539436)</f>
        <v>0.000858587030539436</v>
      </c>
      <c r="BL11" s="81" t="n">
        <f aca="false">IFERROR(__xludf.dummyfunction("FILTER(FILTER('Data Scenarios 3-4'!$A$2:$BX$105,'Data Scenarios 3-4'!$A$1:$BX$1=""V_LAPTOP_4_OUTPUT * I_LAPTOP_4_OUTPUT""),'Data Scenarios 3-4'!$B$2:$B$105=$A11,'Data Scenarios 3-4'!$C$2:$C$105=""All"",'Data Scenarios 3-4'!$D$2:$D$105=""Covariance"")"),-0.000000136810981184899)</f>
        <v>-1.36810981184899E-007</v>
      </c>
      <c r="BM11" s="50" t="n">
        <f aca="false">IFERROR(__xludf.dummyfunction("FILTER(FILTER('Data Scenarios 3-4'!$A$2:$BX$105,'Data Scenarios 3-4'!$A$1:$BX$1=""P_LAPTOP_4_OUTPUT""),'Data Scenarios 3-4'!$B$2:$B$105=$A11,'Data Scenarios 3-4'!$C$2:$C$105=""All"",'Data Scenarios 3-4'!$D$2:$D$105=""Standard Deviation"")"),0.0150487585482803)</f>
        <v>0.0150487585482803</v>
      </c>
      <c r="BN11" s="51" t="n">
        <f aca="false">SQRT(BJ11^2*(G11)^2+BK11^2*(F11)^2+2*BL11*(G11)*(F11))</f>
        <v>0.0150488175762372</v>
      </c>
      <c r="BO11" s="47" t="n">
        <f aca="false">IFERROR(__xludf.dummyfunction("FILTER(FILTER('Data Scenarios 3-4'!$A$2:$BX$105,'Data Scenarios 3-4'!$A$1:$BX$1=""V_LAPTOP_5_OUTPUT""),'Data Scenarios 3-4'!$B$2:$B$105=$A11,'Data Scenarios 3-4'!$C$2:$C$105=""All"",'Data Scenarios 3-4'!$D$2:$D$105=""Standard Deviation"")"),0.00229233459736352)</f>
        <v>0.00229233459736352</v>
      </c>
      <c r="BP11" s="48" t="n">
        <f aca="false">IFERROR(__xludf.dummyfunction("FILTER(FILTER('Data Scenarios 3-4'!$A$2:$BX$105,'Data Scenarios 3-4'!$A$1:$BX$1=""I_LAPTOP_5_OUTPUT""),'Data Scenarios 3-4'!$B$2:$B$105=$A11,'Data Scenarios 3-4'!$C$2:$C$105=""All"",'Data Scenarios 3-4'!$D$2:$D$105=""Standard Deviation"")"),0.0189696656218598)</f>
        <v>0.0189696656218598</v>
      </c>
      <c r="BQ11" s="52" t="n">
        <f aca="false">IFERROR(__xludf.dummyfunction("FILTER(FILTER('Data Scenarios 3-4'!$A$2:$BX$105,'Data Scenarios 3-4'!$A$1:$BX$1=""V_LAPTOP_5_OUTPUT * I_LAPTOP_5_OUTPUT""),'Data Scenarios 3-4'!$B$2:$B$105=$A11,'Data Scenarios 3-4'!$C$2:$C$105=""All"",'Data Scenarios 3-4'!$D$2:$D$105=""Covariance"")"),-0.0000429778355573606)</f>
        <v>-4.29778355573606E-005</v>
      </c>
      <c r="BR11" s="50" t="n">
        <f aca="false">IFERROR(__xludf.dummyfunction("FILTER(FILTER('Data Scenarios 3-4'!$A$2:$BX$105,'Data Scenarios 3-4'!$A$1:$BX$1=""P_LAPTOP_5_OUTPUT""),'Data Scenarios 3-4'!$B$2:$B$105=$A11,'Data Scenarios 3-4'!$C$2:$C$105=""All"",'Data Scenarios 3-4'!$D$2:$D$105=""Standard Deviation"")"),0.339650318451503)</f>
        <v>0.339650318451503</v>
      </c>
      <c r="BS11" s="51" t="n">
        <f aca="false">SQRT(BO11^2*(K11)^2+BP11^2*(J11)^2+2*BQ11*(K11)*(J11))</f>
        <v>0.339652864230226</v>
      </c>
      <c r="BT11" s="54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BU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BV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BW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BX11" s="73" t="n">
        <f aca="false">SQRT(BT11^2*(O11)^2+BU11^2*(N11)^2+2*BV11*(O11)*(N11))</f>
        <v>0.0105571405064004</v>
      </c>
      <c r="BY11" s="47" t="n">
        <f aca="false">IFERROR(__xludf.dummyfunction("FILTER(FILTER('Data Scenarios 3-4'!$A$2:$BX$105,'Data Scenarios 3-4'!$A$1:$BX$1=""V_LED_2""),'Data Scenarios 3-4'!$B$2:$B$105=$A11,'Data Scenarios 3-4'!$C$2:$C$105=""All"",'Data Scenarios 3-4'!$D$2:$D$105=""Standard Deviation"")"),0.000178668922624945)</f>
        <v>0.000178668922624945</v>
      </c>
      <c r="BZ11" s="48" t="n">
        <f aca="false">IFERROR(__xludf.dummyfunction("FILTER(FILTER('Data Scenarios 3-4'!$A$2:$BX$105,'Data Scenarios 3-4'!$A$1:$BX$1=""I_LED_2""),'Data Scenarios 3-4'!$B$2:$B$105=$A11,'Data Scenarios 3-4'!$C$2:$C$105=""All"",'Data Scenarios 3-4'!$D$2:$D$105=""Standard Deviation"")"),0.0000997352240173771)</f>
        <v>9.97352240173771E-005</v>
      </c>
      <c r="CA11" s="52" t="n">
        <f aca="false">IFERROR(__xludf.dummyfunction("FILTER(FILTER('Data Scenarios 3-4'!$A$2:$BX$105,'Data Scenarios 3-4'!$A$1:$BX$1=""V_LED_2 * I_LED_2""),'Data Scenarios 3-4'!$B$2:$B$105=$A11,'Data Scenarios 3-4'!$C$2:$C$105=""All"",'Data Scenarios 3-4'!$D$2:$D$105=""Covariance"")"),-0.00000000909911667141349)</f>
        <v>-9.09911667141349E-009</v>
      </c>
      <c r="CB11" s="65" t="n">
        <f aca="false">IFERROR(__xludf.dummyfunction("FILTER(FILTER('Data Scenarios 3-4'!$A$2:$BX$105,'Data Scenarios 3-4'!$A$1:$BX$1=""P_LED_2""),'Data Scenarios 3-4'!$B$2:$B$105=$A11,'Data Scenarios 3-4'!$C$2:$C$105=""All"",'Data Scenarios 3-4'!$D$2:$D$105=""Standard Deviation"")"),0.00228963056062839)</f>
        <v>0.00228963056062839</v>
      </c>
      <c r="CC11" s="73" t="n">
        <f aca="false">SQRT(BY11^2*(S11)^2+BZ11^2*(R11)^2+2*CA11*(S11)*(R11))</f>
        <v>0.00228961684738086</v>
      </c>
      <c r="CD11" s="47" t="n">
        <f aca="false">IFERROR(__xludf.dummyfunction("FILTER(FILTER('Data Scenarios 3-4'!$A$2:$BX$105,'Data Scenarios 3-4'!$A$1:$BX$1=""V_LED_1""),'Data Scenarios 3-4'!$B$2:$B$105=$A11,'Data Scenarios 3-4'!$C$2:$C$105=""All"",'Data Scenarios 3-4'!$D$2:$D$105=""Standard Deviation"")"),0.00216520969975467)</f>
        <v>0.00216520969975467</v>
      </c>
      <c r="CE11" s="70" t="n">
        <f aca="false">IFERROR(__xludf.dummyfunction("FILTER(FILTER('Data Scenarios 3-4'!$A$2:$BX$105,'Data Scenarios 3-4'!$A$1:$BX$1=""I_LED_1""),'Data Scenarios 3-4'!$B$2:$B$105=$A11,'Data Scenarios 3-4'!$C$2:$C$105=""All"",'Data Scenarios 3-4'!$D$2:$D$105=""Standard Deviation"")"),0.000335000953825683)</f>
        <v>0.000335000953825683</v>
      </c>
      <c r="CF11" s="52" t="n">
        <f aca="false">IFERROR(__xludf.dummyfunction("FILTER(FILTER('Data Scenarios 3-4'!$A$2:$BX$105,'Data Scenarios 3-4'!$A$1:$BX$1=""V_LED_1 * I_LED_1""),'Data Scenarios 3-4'!$B$2:$B$105=$A11,'Data Scenarios 3-4'!$C$2:$C$105=""All"",'Data Scenarios 3-4'!$D$2:$D$105=""Covariance"")"),0.000000670909957287228)</f>
        <v>6.70909957287228E-007</v>
      </c>
      <c r="CG11" s="50" t="n">
        <f aca="false">IFERROR(__xludf.dummyfunction("FILTER(FILTER('Data Scenarios 3-4'!$A$2:$BX$105,'Data Scenarios 3-4'!$A$1:$BX$1=""P_LED_1""),'Data Scenarios 3-4'!$B$2:$B$105=$A11,'Data Scenarios 3-4'!$C$2:$C$105=""All"",'Data Scenarios 3-4'!$D$2:$D$105=""Standard Deviation"")"),0.0105569797666016)</f>
        <v>0.0105569797666016</v>
      </c>
      <c r="CH11" s="71" t="n">
        <f aca="false">SQRT(CD11^2*(W11)^2+CE11^2*(V11)^2+2*CF11*(W11)*(V11))</f>
        <v>0.0104613909546222</v>
      </c>
      <c r="CI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J11" s="125" t="n">
        <v>2.3E-005</v>
      </c>
      <c r="CK11" s="65" t="n">
        <f aca="false">IFERROR(__xludf.dummyfunction("FILTER(FILTER('Data Scenarios 3-4'!$A$2:$BX$105,'Data Scenarios 3-4'!$A$1:$BX$1=""P_HEATER_1_A""),'Data Scenarios 3-4'!$B$2:$B$105=$A11,'Data Scenarios 3-4'!$C$2:$C$105=""All"",'Data Scenarios 3-4'!$D$2:$D$105=""Standard Deviation"")"),0.188989253870963)</f>
        <v>0.188989253870963</v>
      </c>
      <c r="CL11" s="117" t="n">
        <f aca="false">SQRT(CI11^2*(2*Z11*AA11)^2+CJ11^2*(Z11^2)^2)</f>
        <v>0.772157832166523</v>
      </c>
      <c r="CM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N11" s="116" t="n">
        <v>0</v>
      </c>
      <c r="CO11" s="41" t="n">
        <f aca="false">IFERROR(__xludf.dummyfunction("FILTER(FILTER('Data Scenarios 3-4'!$A$2:$BX$105,'Data Scenarios 3-4'!$A$1:$BX$1=""P_HEATER_1_B""),'Data Scenarios 3-4'!$B$2:$B$105=$A11,'Data Scenarios 3-4'!$C$2:$C$105=""All"",'Data Scenarios 3-4'!$D$2:$D$105=""Standard Deviation"")"),0)</f>
        <v>0</v>
      </c>
      <c r="CP11" s="117" t="n">
        <f aca="false">SQRT(CM11^2*(2*AD11*AE11)^2+CN11^2*(AD11^2)^2)</f>
        <v>0</v>
      </c>
      <c r="CQ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CR11" s="116" t="n">
        <v>0</v>
      </c>
      <c r="CS11" s="41" t="n">
        <f aca="false">IFERROR(__xludf.dummyfunction("FILTER(FILTER('Data Scenarios 3-4'!$A$2:$BX$105,'Data Scenarios 3-4'!$A$1:$BX$1=""P_HEATER_1_C""),'Data Scenarios 3-4'!$B$2:$B$105=$A11,'Data Scenarios 3-4'!$C$2:$C$105=""All"",'Data Scenarios 3-4'!$D$2:$D$105=""Standard Deviation"")"),0)</f>
        <v>0</v>
      </c>
      <c r="CT11" s="117" t="n">
        <f aca="false">SQRT(CQ11^2*(2*AH11*AI11)^2+CR11^2*(AH11^2)^2)</f>
        <v>0</v>
      </c>
      <c r="CU11" s="115" t="n">
        <f aca="false">IFERROR(__xludf.dummyfunction("FILTER(FILTER('Data Scenarios 3-4'!$A$2:$BX$105,'Data Scenarios 3-4'!$A$1:$BX$1=""V_an""),'Data Scenarios 3-4'!$B$2:$B$105=$A11,'Data Scenarios 3-4'!$C$2:$C$105=""All"",'Data Scenarios 3-4'!$D$2:$D$105=""Standard Deviation"")"),0.226867127303462)</f>
        <v>0.226867127303462</v>
      </c>
      <c r="CV11" s="125" t="n">
        <v>4.7E-005</v>
      </c>
      <c r="CW11" s="65" t="n">
        <f aca="false">IFERROR(__xludf.dummyfunction("FILTER(FILTER('Data Scenarios 3-4'!$A$2:$BX$105,'Data Scenarios 3-4'!$A$1:$BX$1=""P_HEATER_2_A""),'Data Scenarios 3-4'!$B$2:$B$105=$A11,'Data Scenarios 3-4'!$C$2:$C$105=""All"",'Data Scenarios 3-4'!$D$2:$D$105=""Standard Deviation"")"),1.4734741037758)</f>
        <v>1.4734741037758</v>
      </c>
      <c r="CX11" s="117" t="n">
        <f aca="false">SQRT(CU11^2*(2*AL11*AM11)^2+CV11^2*(AL11^2)^2)</f>
        <v>1.58431325341442</v>
      </c>
      <c r="CY11" s="115" t="n">
        <f aca="false">IFERROR(__xludf.dummyfunction("FILTER(FILTER('Data Scenarios 3-4'!$A$2:$BX$105,'Data Scenarios 3-4'!$A$1:$BX$1=""V_bn""),'Data Scenarios 3-4'!$B$2:$B$105=$A11,'Data Scenarios 3-4'!$C$2:$C$105=""All"",'Data Scenarios 3-4'!$D$2:$D$105=""Standard Deviation"")"),0.166001153138431)</f>
        <v>0.166001153138431</v>
      </c>
      <c r="CZ11" s="125" t="n">
        <v>3.3E-005</v>
      </c>
      <c r="DA11" s="65" t="n">
        <f aca="false">IFERROR(__xludf.dummyfunction("FILTER(FILTER('Data Scenarios 3-4'!$A$2:$BX$105,'Data Scenarios 3-4'!$A$1:$BX$1=""P_HEATER_2_B""),'Data Scenarios 3-4'!$B$2:$B$105=$A11,'Data Scenarios 3-4'!$C$2:$C$105=""All"",'Data Scenarios 3-4'!$D$2:$D$105=""Standard Deviation"")"),0.450950749232667)</f>
        <v>0.450950749232667</v>
      </c>
      <c r="DB11" s="117" t="n">
        <f aca="false">SQRT(CY11^2*(2*AP11*AQ11)^2+CZ11^2*(AP11^2)^2)</f>
        <v>1.15855241775649</v>
      </c>
      <c r="DC11" s="115" t="n">
        <f aca="false">IFERROR(__xludf.dummyfunction("FILTER(FILTER('Data Scenarios 3-4'!$A$2:$BX$105,'Data Scenarios 3-4'!$A$1:$BX$1=""V_cn""),'Data Scenarios 3-4'!$B$2:$B$105=$A11,'Data Scenarios 3-4'!$C$2:$C$105=""All"",'Data Scenarios 3-4'!$D$2:$D$105=""Standard Deviation"")"),0.224048604633448)</f>
        <v>0.224048604633448</v>
      </c>
      <c r="DD11" s="116" t="n">
        <v>0</v>
      </c>
      <c r="DE11" s="41" t="n">
        <f aca="false">IFERROR(__xludf.dummyfunction("FILTER(FILTER('Data Scenarios 3-4'!$A$2:$BX$105,'Data Scenarios 3-4'!$A$1:$BX$1=""P_HEATER_2_C""),'Data Scenarios 3-4'!$B$2:$B$105=$A11,'Data Scenarios 3-4'!$C$2:$C$105=""All"",'Data Scenarios 3-4'!$D$2:$D$105=""Standard Deviation"")"),0)</f>
        <v>0</v>
      </c>
      <c r="DF11" s="117" t="n">
        <f aca="false">SQRT(DC11^2*(2*AT11*AU11)^2+DD11^2*(AT11^2)^2)</f>
        <v>0</v>
      </c>
      <c r="DG11" s="57" t="n">
        <f aca="false">IFERROR(__xludf.dummyfunction("FILTER(FILTER('Data Scenarios 3-4'!$A$2:$BX$105,'Data Scenarios 3-4'!$A$1:$BX$1=""P_In""),'Data Scenarios 3-4'!$B$2:$B$105=$A11,'Data Scenarios 3-4'!$C$2:$C$105=""All"",'Data Scenarios 3-4'!$D$2:$D$105=""Standard Deviation"")"),2.27762404865294)</f>
        <v>2.27762404865294</v>
      </c>
      <c r="DH11" s="57" t="n">
        <f aca="false">IFERROR(__xludf.dummyfunction("FILTER(FILTER('Data Scenarios 3-4'!$A$2:$BX$105,'Data Scenarios 3-4'!$A$1:$BX$1=""P_Secondary""),'Data Scenarios 3-4'!$B$2:$B$105=$A11,'Data Scenarios 3-4'!$C$2:$C$105=""All"",'Data Scenarios 3-4'!$D$2:$D$105=""Standard Deviation"")"),2.36585007491097)</f>
        <v>2.36585007491097</v>
      </c>
      <c r="DI11" s="74" t="n">
        <f aca="false">IFERROR(__xludf.dummyfunction("FILTER(FILTER('Data Scenarios 3-4'!$A$2:$BX$105,'Data Scenarios 3-4'!$A$1:$BX$1=""P_Out""),'Data Scenarios 3-4'!$B$2:$B$105=$A11,'Data Scenarios 3-4'!$C$2:$C$105=""All"",'Data Scenarios 3-4'!$D$2:$D$105=""Standard Deviation"")"),2.37924030567175)</f>
        <v>2.37924030567175</v>
      </c>
      <c r="DJ11" s="75" t="n">
        <f aca="false">SQRT(BH11^2+BM11^2+BR11^2+BW11^2+CB11^2+CG11^2+CK11^2+CO11^2+CS11^2+CW11^2+DA11^2+DE11^2)</f>
        <v>1.58965811610869</v>
      </c>
      <c r="DK11" s="74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3-4'!$D$2:$D$105=""Standard Deviation"")"),0.171881450112034)</f>
        <v>0.171881450112034</v>
      </c>
      <c r="DL11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3-4'!$D$2:$D$105=""Standard Deviation"")"),0.0393119026365309)</f>
        <v>0.0393119026365309</v>
      </c>
      <c r="DM11" s="75" t="n">
        <f aca="false">SQRT(DH11^2+MAX(DI11:DJ11)^2)</f>
        <v>3.35529894481688</v>
      </c>
      <c r="DN11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3-4'!$D$2:$D$105=""Standard Deviation"")"),0.21034381125157)</f>
        <v>0.21034381125157</v>
      </c>
      <c r="DO11" s="75" t="n">
        <f aca="false">SQRT(DG11^2+MAX(DI11:DJ11)^2)</f>
        <v>3.29368421970522</v>
      </c>
      <c r="DP11" s="119" t="n">
        <v>1391.1463993056</v>
      </c>
      <c r="DQ11" s="120" t="n">
        <v>1303.86349227132</v>
      </c>
      <c r="DR11" s="120" t="n">
        <v>87.2829070342798</v>
      </c>
      <c r="DS11" s="120" t="n">
        <v>48.7844922713249</v>
      </c>
      <c r="DT11" s="120" t="n">
        <v>136.067399305605</v>
      </c>
      <c r="DU11" s="121" t="n">
        <f aca="false">DP11-AX11</f>
        <v>-15.8872706944001</v>
      </c>
      <c r="DV11" s="65" t="n">
        <f aca="false">TINV(0.1,2)*DG11/SQRT(3)</f>
        <v>3.83974266255408</v>
      </c>
      <c r="DW11" s="66" t="n">
        <f aca="false">DU11/AX11</f>
        <v>-0.0112913223280578</v>
      </c>
      <c r="DX11" s="67" t="n">
        <f aca="false">DV11/AX11</f>
        <v>0.00272896288441632</v>
      </c>
      <c r="DY11" s="45" t="n">
        <f aca="false">DQ11-AY11</f>
        <v>-18.5870188397901</v>
      </c>
      <c r="DZ11" s="65" t="n">
        <f aca="false">TINV(0.1,2)*DH11/SQRT(3)</f>
        <v>3.98847890248398</v>
      </c>
      <c r="EA11" s="66" t="n">
        <f aca="false">DY11/AY11</f>
        <v>-0.014054982537058</v>
      </c>
      <c r="EB11" s="67" t="n">
        <f aca="false">DZ11/AY11</f>
        <v>0.00301597592422033</v>
      </c>
      <c r="EC11" s="45" t="n">
        <f aca="false">DR11-BB11</f>
        <v>2.699748145391</v>
      </c>
      <c r="ED11" s="65" t="n">
        <f aca="false">TINV(0.1,2)*DK11/SQRT(3)</f>
        <v>0.289767109408232</v>
      </c>
      <c r="EE11" s="66" t="n">
        <f aca="false">EC11/BB11</f>
        <v>0.0319182705027306</v>
      </c>
      <c r="EF11" s="67" t="n">
        <f aca="false">ED11/BB11</f>
        <v>0.00342582510767752</v>
      </c>
      <c r="EG11" s="45" t="n">
        <f aca="false">DS11-BC11</f>
        <v>-18.586626549712</v>
      </c>
      <c r="EH11" s="65" t="n">
        <f aca="false">TINV(0.1,2)*DL11/SQRT(3)</f>
        <v>0.0662741464241805</v>
      </c>
      <c r="EI11" s="66" t="n">
        <f aca="false">EG11/BC11</f>
        <v>-0.275884190064961</v>
      </c>
      <c r="EJ11" s="66" t="n">
        <f aca="false">EH11/BC11</f>
        <v>0.000983717468018152</v>
      </c>
      <c r="EK11" s="45" t="n">
        <f aca="false">DT11-BD11</f>
        <v>-15.88687840432</v>
      </c>
      <c r="EL11" s="65" t="n">
        <f aca="false">TINV(0.1,2)*DN11/SQRT(3)</f>
        <v>0.354609052510029</v>
      </c>
      <c r="EM11" s="66" t="n">
        <f aca="false">EK11/BD11</f>
        <v>-0.104550386101321</v>
      </c>
      <c r="EN11" s="66" t="n">
        <f aca="false">EL11/BD11</f>
        <v>0.00233365626722904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128"/>
      <c r="AA12" s="129"/>
      <c r="AC12" s="130"/>
      <c r="AD12" s="128"/>
      <c r="AE12" s="129"/>
      <c r="AG12" s="130"/>
      <c r="AH12" s="128"/>
      <c r="AI12" s="129"/>
      <c r="AK12" s="130"/>
      <c r="AL12" s="128"/>
      <c r="AM12" s="129"/>
      <c r="AO12" s="130"/>
      <c r="AP12" s="128"/>
      <c r="AQ12" s="129"/>
      <c r="AS12" s="130"/>
      <c r="AT12" s="128"/>
      <c r="AU12" s="129"/>
      <c r="AW12" s="130"/>
      <c r="AX12" s="85"/>
      <c r="AY12" s="84"/>
      <c r="AZ12" s="84"/>
      <c r="BA12" s="131"/>
      <c r="BB12" s="84"/>
      <c r="BE12" s="84"/>
      <c r="BI12" s="86"/>
      <c r="BO12" s="84"/>
      <c r="BT12" s="84"/>
      <c r="BY12" s="84"/>
      <c r="CD12" s="84"/>
      <c r="CI12" s="128"/>
      <c r="CJ12" s="129"/>
      <c r="CL12" s="132"/>
      <c r="CM12" s="128"/>
      <c r="CN12" s="129"/>
      <c r="CP12" s="132"/>
      <c r="CQ12" s="128"/>
      <c r="CR12" s="129"/>
      <c r="CT12" s="132"/>
      <c r="CU12" s="128"/>
      <c r="CV12" s="129"/>
      <c r="CX12" s="132"/>
      <c r="CY12" s="128"/>
      <c r="CZ12" s="129"/>
      <c r="DB12" s="132"/>
      <c r="DC12" s="128"/>
      <c r="DD12" s="129"/>
      <c r="DF12" s="132"/>
      <c r="DG12" s="85"/>
      <c r="DH12" s="85"/>
      <c r="DI12" s="84"/>
      <c r="DK12" s="84"/>
      <c r="DP12" s="84"/>
      <c r="DU12" s="84"/>
      <c r="DY12" s="84"/>
      <c r="EC12" s="84"/>
      <c r="EG12" s="84"/>
      <c r="EK12" s="84"/>
    </row>
    <row r="13" customFormat="false" ht="12.8" hidden="false" customHeight="false" outlineLevel="0" collapsed="false">
      <c r="A13" s="37"/>
      <c r="E13" s="83"/>
      <c r="J13" s="84"/>
      <c r="N13" s="84"/>
      <c r="R13" s="84"/>
      <c r="V13" s="84"/>
      <c r="Z13" s="128"/>
      <c r="AA13" s="129"/>
      <c r="AC13" s="130"/>
      <c r="AD13" s="128"/>
      <c r="AE13" s="129"/>
      <c r="AG13" s="130"/>
      <c r="AH13" s="128"/>
      <c r="AI13" s="129"/>
      <c r="AK13" s="130"/>
      <c r="AL13" s="128"/>
      <c r="AM13" s="129"/>
      <c r="AO13" s="130"/>
      <c r="AP13" s="128"/>
      <c r="AQ13" s="129"/>
      <c r="AS13" s="130"/>
      <c r="AT13" s="128"/>
      <c r="AU13" s="129"/>
      <c r="AW13" s="130"/>
      <c r="AX13" s="85"/>
      <c r="AY13" s="133"/>
      <c r="AZ13" s="84"/>
      <c r="BA13" s="131"/>
      <c r="BB13" s="134" t="s">
        <v>125</v>
      </c>
      <c r="BC13" s="134"/>
      <c r="BD13" s="134"/>
      <c r="BE13" s="84"/>
      <c r="BI13" s="86"/>
      <c r="BO13" s="84"/>
      <c r="BT13" s="84"/>
      <c r="BY13" s="84"/>
      <c r="CD13" s="84"/>
      <c r="CI13" s="128"/>
      <c r="CJ13" s="129"/>
      <c r="CL13" s="132"/>
      <c r="CM13" s="128"/>
      <c r="CN13" s="129"/>
      <c r="CP13" s="132"/>
      <c r="CQ13" s="128"/>
      <c r="CR13" s="129"/>
      <c r="CT13" s="132"/>
      <c r="CU13" s="128"/>
      <c r="CV13" s="129"/>
      <c r="CX13" s="132"/>
      <c r="CY13" s="128"/>
      <c r="CZ13" s="129"/>
      <c r="DB13" s="132"/>
      <c r="DC13" s="128"/>
      <c r="DD13" s="129"/>
      <c r="DF13" s="132"/>
      <c r="DG13" s="85"/>
      <c r="DH13" s="85"/>
      <c r="DI13" s="84"/>
      <c r="DK13" s="84"/>
      <c r="DP13" s="84"/>
      <c r="DU13" s="84"/>
      <c r="DY13" s="84"/>
      <c r="EC13" s="84"/>
      <c r="EG13" s="84"/>
      <c r="EK13" s="84"/>
    </row>
    <row r="14" customFormat="false" ht="12.8" hidden="false" customHeight="false" outlineLevel="0" collapsed="false">
      <c r="A14" s="37"/>
      <c r="E14" s="83"/>
      <c r="J14" s="84"/>
      <c r="N14" s="84"/>
      <c r="R14" s="84"/>
      <c r="V14" s="84"/>
      <c r="Z14" s="128"/>
      <c r="AA14" s="129"/>
      <c r="AC14" s="130"/>
      <c r="AD14" s="128"/>
      <c r="AE14" s="129"/>
      <c r="AG14" s="130"/>
      <c r="AH14" s="128"/>
      <c r="AI14" s="129"/>
      <c r="AK14" s="130"/>
      <c r="AL14" s="128"/>
      <c r="AM14" s="129"/>
      <c r="AO14" s="130"/>
      <c r="AP14" s="128"/>
      <c r="AQ14" s="129"/>
      <c r="AS14" s="130"/>
      <c r="AT14" s="128"/>
      <c r="AU14" s="129"/>
      <c r="AW14" s="130"/>
      <c r="AX14" s="85"/>
      <c r="AY14" s="133"/>
      <c r="AZ14" s="84"/>
      <c r="BA14" s="131"/>
      <c r="BB14" s="14" t="s">
        <v>55</v>
      </c>
      <c r="BC14" s="14"/>
      <c r="BD14" s="14"/>
      <c r="BE14" s="84"/>
      <c r="BI14" s="86"/>
      <c r="BO14" s="84"/>
      <c r="BT14" s="84"/>
      <c r="BY14" s="84"/>
      <c r="CD14" s="84"/>
      <c r="CI14" s="128"/>
      <c r="CJ14" s="129"/>
      <c r="CL14" s="132"/>
      <c r="CM14" s="128"/>
      <c r="CN14" s="129"/>
      <c r="CP14" s="132"/>
      <c r="CQ14" s="128"/>
      <c r="CR14" s="129"/>
      <c r="CT14" s="132"/>
      <c r="CU14" s="128"/>
      <c r="CV14" s="129"/>
      <c r="CX14" s="132"/>
      <c r="CY14" s="128"/>
      <c r="CZ14" s="129"/>
      <c r="DB14" s="132"/>
      <c r="DC14" s="128"/>
      <c r="DD14" s="129"/>
      <c r="DF14" s="132"/>
      <c r="DG14" s="85"/>
      <c r="DH14" s="85"/>
      <c r="DI14" s="84"/>
      <c r="DK14" s="84"/>
      <c r="DP14" s="84"/>
      <c r="DR14" s="14" t="s">
        <v>55</v>
      </c>
      <c r="DS14" s="14"/>
      <c r="DT14" s="14"/>
      <c r="DU14" s="84"/>
      <c r="DY14" s="84"/>
      <c r="EC14" s="84"/>
      <c r="EG14" s="84"/>
      <c r="EK14" s="84"/>
    </row>
    <row r="15" customFormat="false" ht="12.8" hidden="false" customHeight="false" outlineLevel="0" collapsed="false">
      <c r="A15" s="37"/>
      <c r="E15" s="83"/>
      <c r="J15" s="84"/>
      <c r="N15" s="84"/>
      <c r="R15" s="84"/>
      <c r="V15" s="84"/>
      <c r="Z15" s="128"/>
      <c r="AA15" s="129"/>
      <c r="AC15" s="130"/>
      <c r="AD15" s="128"/>
      <c r="AE15" s="129"/>
      <c r="AG15" s="130"/>
      <c r="AH15" s="128"/>
      <c r="AI15" s="129"/>
      <c r="AK15" s="130"/>
      <c r="AL15" s="128"/>
      <c r="AM15" s="129"/>
      <c r="AO15" s="130"/>
      <c r="AP15" s="128"/>
      <c r="AQ15" s="129"/>
      <c r="AS15" s="130"/>
      <c r="AT15" s="128"/>
      <c r="AU15" s="129"/>
      <c r="AW15" s="130"/>
      <c r="AX15" s="85"/>
      <c r="AY15" s="133"/>
      <c r="AZ15" s="84"/>
      <c r="BA15" s="131"/>
      <c r="BB15" s="26" t="s">
        <v>72</v>
      </c>
      <c r="BC15" s="23" t="s">
        <v>73</v>
      </c>
      <c r="BD15" s="108" t="s">
        <v>75</v>
      </c>
      <c r="BE15" s="84"/>
      <c r="BI15" s="86"/>
      <c r="BO15" s="84"/>
      <c r="BT15" s="84"/>
      <c r="BY15" s="84"/>
      <c r="CD15" s="84"/>
      <c r="CI15" s="128"/>
      <c r="CJ15" s="129"/>
      <c r="CL15" s="132"/>
      <c r="CM15" s="128"/>
      <c r="CN15" s="129"/>
      <c r="CP15" s="132"/>
      <c r="CQ15" s="128"/>
      <c r="CR15" s="129"/>
      <c r="CT15" s="132"/>
      <c r="CU15" s="128"/>
      <c r="CV15" s="129"/>
      <c r="CX15" s="132"/>
      <c r="CY15" s="128"/>
      <c r="CZ15" s="129"/>
      <c r="DB15" s="132"/>
      <c r="DC15" s="128"/>
      <c r="DD15" s="129"/>
      <c r="DF15" s="132"/>
      <c r="DG15" s="85"/>
      <c r="DH15" s="85"/>
      <c r="DI15" s="84"/>
      <c r="DK15" s="84"/>
      <c r="DP15" s="84"/>
      <c r="DR15" s="26" t="s">
        <v>72</v>
      </c>
      <c r="DS15" s="23" t="s">
        <v>73</v>
      </c>
      <c r="DT15" s="108" t="s">
        <v>75</v>
      </c>
      <c r="DU15" s="84"/>
      <c r="DY15" s="84"/>
      <c r="EC15" s="84"/>
      <c r="EG15" s="84"/>
      <c r="EK15" s="84"/>
    </row>
    <row r="16" customFormat="false" ht="12.8" hidden="false" customHeight="false" outlineLevel="0" collapsed="false">
      <c r="A16" s="37"/>
      <c r="E16" s="83"/>
      <c r="J16" s="84"/>
      <c r="N16" s="84"/>
      <c r="R16" s="84"/>
      <c r="V16" s="84"/>
      <c r="Z16" s="128"/>
      <c r="AA16" s="129"/>
      <c r="AC16" s="130"/>
      <c r="AD16" s="128"/>
      <c r="AE16" s="129"/>
      <c r="AG16" s="130"/>
      <c r="AH16" s="128"/>
      <c r="AI16" s="129"/>
      <c r="AK16" s="130"/>
      <c r="AL16" s="128"/>
      <c r="AM16" s="129"/>
      <c r="AO16" s="130"/>
      <c r="AP16" s="128"/>
      <c r="AQ16" s="129"/>
      <c r="AS16" s="130"/>
      <c r="AT16" s="128"/>
      <c r="AU16" s="129"/>
      <c r="AW16" s="130"/>
      <c r="AX16" s="85"/>
      <c r="AY16" s="133"/>
      <c r="AZ16" s="84"/>
      <c r="BA16" s="131"/>
      <c r="BB16" s="135" t="n">
        <f aca="false">AX4-AY4</f>
        <v>51.484142325</v>
      </c>
      <c r="BC16" s="136" t="n">
        <f aca="false">AY4-AZ4</f>
        <v>2.46025059833308</v>
      </c>
      <c r="BD16" s="136" t="n">
        <f aca="false">AX4-AZ4</f>
        <v>53.944392923333</v>
      </c>
      <c r="BE16" s="84"/>
      <c r="BI16" s="86"/>
      <c r="BO16" s="84"/>
      <c r="BT16" s="84"/>
      <c r="BY16" s="84"/>
      <c r="CD16" s="84"/>
      <c r="CI16" s="128"/>
      <c r="CJ16" s="129"/>
      <c r="CL16" s="132"/>
      <c r="CM16" s="128"/>
      <c r="CN16" s="129"/>
      <c r="CP16" s="132"/>
      <c r="CQ16" s="128"/>
      <c r="CR16" s="129"/>
      <c r="CT16" s="132"/>
      <c r="CU16" s="128"/>
      <c r="CV16" s="129"/>
      <c r="CX16" s="132"/>
      <c r="CY16" s="128"/>
      <c r="CZ16" s="129"/>
      <c r="DB16" s="132"/>
      <c r="DC16" s="128"/>
      <c r="DD16" s="129"/>
      <c r="DF16" s="132"/>
      <c r="DG16" s="85"/>
      <c r="DH16" s="85"/>
      <c r="DI16" s="84"/>
      <c r="DK16" s="84"/>
      <c r="DP16" s="84"/>
      <c r="DR16" s="59" t="n">
        <f aca="false">IFERROR(__xludf.dummyfunction("FILTER(FILTER('Data Scenarios 3-4'!$A$2:$BX$105,'Data Scenarios 3-4'!$A$1:$BX$1=""P_TransformerLoss""),'Data Scenarios 3-4'!$B$2:$B$105=$A4,'Data Scenarios 3-4'!$C$2:$C$105=""All"",'Data Scenarios 3-4'!$D$2:$D$105=""Mean"")"),51.484142325)</f>
        <v>51.484142325</v>
      </c>
      <c r="DS16" s="65" t="n">
        <f aca="false">IFERROR(__xludf.dummyfunction("FILTER(FILTER('Data Scenarios 3-4'!$A$2:$BX$105,'Data Scenarios 3-4'!$A$1:$BX$1=""P_ConverterLoss""),'Data Scenarios 3-4'!$B$2:$B$105=$A4,'Data Scenarios 3-4'!$C$2:$C$105=""All"",'Data Scenarios 3-4'!$D$2:$D$105=""Mean"")"),2.46025059833307)</f>
        <v>2.46025059833307</v>
      </c>
      <c r="DT16" s="65" t="n">
        <f aca="false">IFERROR(__xludf.dummyfunction("FILTER(FILTER('Data Scenarios 3-4'!$A$2:$BX$105,'Data Scenarios 3-4'!$A$1:$BX$1=""P_SystemLoss""),'Data Scenarios 3-4'!$B$2:$B$105=$A4,'Data Scenarios 3-4'!$C$2:$C$105=""All"",'Data Scenarios 3-4'!$D$2:$D$105=""Mean"")"),53.944392923333)</f>
        <v>53.944392923333</v>
      </c>
      <c r="DU16" s="84"/>
      <c r="DY16" s="84"/>
      <c r="EC16" s="84"/>
      <c r="EG16" s="84"/>
      <c r="EK16" s="84"/>
    </row>
    <row r="17" customFormat="false" ht="12.8" hidden="false" customHeight="false" outlineLevel="0" collapsed="false">
      <c r="A17" s="37"/>
      <c r="B17" s="137" t="n">
        <v>3.1</v>
      </c>
      <c r="C17" s="137" t="n">
        <v>3.2</v>
      </c>
      <c r="D17" s="137" t="n">
        <v>3.3</v>
      </c>
      <c r="E17" s="137" t="n">
        <v>3.4</v>
      </c>
      <c r="F17" s="137" t="n">
        <v>4.1</v>
      </c>
      <c r="G17" s="137" t="n">
        <v>4.2</v>
      </c>
      <c r="H17" s="137" t="n">
        <v>4.3</v>
      </c>
      <c r="I17" s="138" t="n">
        <v>4.4</v>
      </c>
      <c r="J17" s="84"/>
      <c r="N17" s="84"/>
      <c r="R17" s="84"/>
      <c r="V17" s="133"/>
      <c r="Z17" s="128"/>
      <c r="AA17" s="129"/>
      <c r="AC17" s="130"/>
      <c r="AD17" s="128"/>
      <c r="AE17" s="129"/>
      <c r="AG17" s="130"/>
      <c r="AH17" s="128"/>
      <c r="AI17" s="129"/>
      <c r="AK17" s="130"/>
      <c r="AL17" s="128"/>
      <c r="AM17" s="129"/>
      <c r="AO17" s="130"/>
      <c r="AP17" s="128"/>
      <c r="AQ17" s="129"/>
      <c r="AS17" s="130"/>
      <c r="AT17" s="128"/>
      <c r="AU17" s="129"/>
      <c r="AW17" s="130"/>
      <c r="AX17" s="85"/>
      <c r="AY17" s="133"/>
      <c r="AZ17" s="84"/>
      <c r="BA17" s="131"/>
      <c r="BB17" s="135" t="n">
        <f aca="false">AX5-AY5</f>
        <v>57.670012777778</v>
      </c>
      <c r="BC17" s="136" t="n">
        <f aca="false">AY5-AZ5</f>
        <v>60.042384981724</v>
      </c>
      <c r="BD17" s="136" t="n">
        <f aca="false">AX5-AZ5</f>
        <v>117.712397759502</v>
      </c>
      <c r="BE17" s="84"/>
      <c r="BI17" s="86"/>
      <c r="BO17" s="84"/>
      <c r="BT17" s="84"/>
      <c r="BY17" s="84"/>
      <c r="CD17" s="84"/>
      <c r="CI17" s="128"/>
      <c r="CJ17" s="129"/>
      <c r="CL17" s="132"/>
      <c r="CM17" s="128"/>
      <c r="CN17" s="129"/>
      <c r="CP17" s="132"/>
      <c r="CQ17" s="128"/>
      <c r="CR17" s="129"/>
      <c r="CT17" s="132"/>
      <c r="CU17" s="128"/>
      <c r="CV17" s="129"/>
      <c r="CX17" s="132"/>
      <c r="CY17" s="128"/>
      <c r="CZ17" s="129"/>
      <c r="DB17" s="132"/>
      <c r="DC17" s="128"/>
      <c r="DD17" s="129"/>
      <c r="DF17" s="132"/>
      <c r="DG17" s="85"/>
      <c r="DH17" s="85"/>
      <c r="DI17" s="84"/>
      <c r="DK17" s="84"/>
      <c r="DP17" s="84"/>
      <c r="DR17" s="59" t="n">
        <f aca="false">IFERROR(__xludf.dummyfunction("FILTER(FILTER('Data Scenarios 3-4'!$A$2:$BX$105,'Data Scenarios 3-4'!$A$1:$BX$1=""P_TransformerLoss""),'Data Scenarios 3-4'!$B$2:$B$105=$A5,'Data Scenarios 3-4'!$C$2:$C$105=""All"",'Data Scenarios 3-4'!$D$2:$D$105=""Mean"")"),57.6700127777777)</f>
        <v>57.6700127777777</v>
      </c>
      <c r="DS17" s="65" t="n">
        <f aca="false">IFERROR(__xludf.dummyfunction("FILTER(FILTER('Data Scenarios 3-4'!$A$2:$BX$105,'Data Scenarios 3-4'!$A$1:$BX$1=""P_ConverterLoss""),'Data Scenarios 3-4'!$B$2:$B$105=$A5,'Data Scenarios 3-4'!$C$2:$C$105=""All"",'Data Scenarios 3-4'!$D$2:$D$105=""Mean"")"),60.0423849817241)</f>
        <v>60.0423849817241</v>
      </c>
      <c r="DT17" s="65" t="n">
        <f aca="false">IFERROR(__xludf.dummyfunction("FILTER(FILTER('Data Scenarios 3-4'!$A$2:$BX$105,'Data Scenarios 3-4'!$A$1:$BX$1=""P_SystemLoss""),'Data Scenarios 3-4'!$B$2:$B$105=$A5,'Data Scenarios 3-4'!$C$2:$C$105=""All"",'Data Scenarios 3-4'!$D$2:$D$105=""Mean"")"),117.712397759501)</f>
        <v>117.712397759501</v>
      </c>
      <c r="DU17" s="84"/>
      <c r="DY17" s="84"/>
      <c r="EC17" s="84"/>
      <c r="EG17" s="84"/>
      <c r="EK17" s="84"/>
    </row>
    <row r="18" customFormat="false" ht="12.8" hidden="false" customHeight="false" outlineLevel="0" collapsed="false">
      <c r="A18" s="37" t="s">
        <v>43</v>
      </c>
      <c r="B18" s="139" t="n">
        <f aca="true">OFFSET($D$4, 0, (ROW()-18)*4)</f>
        <v>0.0536461160188831</v>
      </c>
      <c r="C18" s="139" t="n">
        <f aca="true">OFFSET($D$5, 0, (ROW()-18)*4)</f>
        <v>72.6663504317215</v>
      </c>
      <c r="D18" s="139" t="n">
        <f aca="true">OFFSET($D$6, 0, (ROW()-18)*4)</f>
        <v>70.6827298767007</v>
      </c>
      <c r="E18" s="140" t="n">
        <f aca="true">OFFSET($D$7, 0, (ROW()-18)*4)</f>
        <v>70.6685371377104</v>
      </c>
      <c r="F18" s="139" t="n">
        <f aca="true">OFFSET($D$8, 0, (ROW()-18)*4)</f>
        <v>0.051896829241867</v>
      </c>
      <c r="G18" s="139" t="n">
        <f aca="true">OFFSET($D$9, 0, (ROW()-18)*4)</f>
        <v>70.5752477149871</v>
      </c>
      <c r="H18" s="139" t="n">
        <f aca="true">OFFSET($D$10, 0, (ROW()-18)*4)</f>
        <v>70.5220494369545</v>
      </c>
      <c r="I18" s="141" t="n">
        <f aca="true">OFFSET($D$11, 0, (ROW()-18)*4)</f>
        <v>70.4808550371045</v>
      </c>
      <c r="J18" s="84"/>
      <c r="N18" s="84"/>
      <c r="R18" s="84"/>
      <c r="V18" s="84"/>
      <c r="Z18" s="128"/>
      <c r="AA18" s="129"/>
      <c r="AC18" s="130"/>
      <c r="AD18" s="128"/>
      <c r="AE18" s="129"/>
      <c r="AG18" s="130"/>
      <c r="AH18" s="128"/>
      <c r="AI18" s="129"/>
      <c r="AK18" s="130"/>
      <c r="AL18" s="128"/>
      <c r="AM18" s="129"/>
      <c r="AO18" s="130"/>
      <c r="AP18" s="128"/>
      <c r="AQ18" s="129"/>
      <c r="AS18" s="130"/>
      <c r="AT18" s="128"/>
      <c r="AU18" s="129"/>
      <c r="AW18" s="130"/>
      <c r="AX18" s="85"/>
      <c r="AY18" s="133"/>
      <c r="AZ18" s="84"/>
      <c r="BA18" s="131"/>
      <c r="BB18" s="135" t="n">
        <f aca="false">AX6-AY6</f>
        <v>65.977445</v>
      </c>
      <c r="BC18" s="136" t="n">
        <f aca="false">AY6-AZ6</f>
        <v>66.220498636067</v>
      </c>
      <c r="BD18" s="136" t="n">
        <f aca="false">AX6-AZ6</f>
        <v>132.197943636067</v>
      </c>
      <c r="BE18" s="84"/>
      <c r="BI18" s="86"/>
      <c r="BO18" s="84"/>
      <c r="BT18" s="84"/>
      <c r="BY18" s="84"/>
      <c r="CD18" s="84"/>
      <c r="CI18" s="128"/>
      <c r="CJ18" s="129"/>
      <c r="CL18" s="132"/>
      <c r="CM18" s="128"/>
      <c r="CN18" s="129"/>
      <c r="CP18" s="132"/>
      <c r="CQ18" s="128"/>
      <c r="CR18" s="129"/>
      <c r="CT18" s="132"/>
      <c r="CU18" s="128"/>
      <c r="CV18" s="129"/>
      <c r="CX18" s="132"/>
      <c r="CY18" s="128"/>
      <c r="CZ18" s="129"/>
      <c r="DB18" s="132"/>
      <c r="DC18" s="128"/>
      <c r="DD18" s="129"/>
      <c r="DF18" s="132"/>
      <c r="DG18" s="85"/>
      <c r="DH18" s="85"/>
      <c r="DI18" s="84"/>
      <c r="DK18" s="84"/>
      <c r="DP18" s="84"/>
      <c r="DR18" s="59" t="n">
        <f aca="false">IFERROR(__xludf.dummyfunction("FILTER(FILTER('Data Scenarios 3-4'!$A$2:$BX$105,'Data Scenarios 3-4'!$A$1:$BX$1=""P_TransformerLoss""),'Data Scenarios 3-4'!$B$2:$B$105=$A6,'Data Scenarios 3-4'!$C$2:$C$105=""All"",'Data Scenarios 3-4'!$D$2:$D$105=""Mean"")"),65.9774449999999)</f>
        <v>65.9774449999999</v>
      </c>
      <c r="DS18" s="65" t="n">
        <f aca="false">IFERROR(__xludf.dummyfunction("FILTER(FILTER('Data Scenarios 3-4'!$A$2:$BX$105,'Data Scenarios 3-4'!$A$1:$BX$1=""P_ConverterLoss""),'Data Scenarios 3-4'!$B$2:$B$105=$A6,'Data Scenarios 3-4'!$C$2:$C$105=""All"",'Data Scenarios 3-4'!$D$2:$D$105=""Mean"")"),66.2204986360664)</f>
        <v>66.2204986360664</v>
      </c>
      <c r="DT18" s="65" t="n">
        <f aca="false">IFERROR(__xludf.dummyfunction("FILTER(FILTER('Data Scenarios 3-4'!$A$2:$BX$105,'Data Scenarios 3-4'!$A$1:$BX$1=""P_SystemLoss""),'Data Scenarios 3-4'!$B$2:$B$105=$A6,'Data Scenarios 3-4'!$C$2:$C$105=""All"",'Data Scenarios 3-4'!$D$2:$D$105=""Mean"")"),132.197943636066)</f>
        <v>132.197943636066</v>
      </c>
      <c r="DU18" s="84"/>
      <c r="DY18" s="84"/>
      <c r="EC18" s="84"/>
      <c r="EG18" s="84"/>
      <c r="EK18" s="84"/>
    </row>
    <row r="19" customFormat="false" ht="12.8" hidden="false" customHeight="false" outlineLevel="0" collapsed="false">
      <c r="A19" s="37" t="s">
        <v>44</v>
      </c>
      <c r="B19" s="139" t="n">
        <f aca="true">OFFSET($D$4, 0, (ROW()-18)*4)</f>
        <v>0.0681938766719675</v>
      </c>
      <c r="C19" s="139" t="n">
        <f aca="true">OFFSET($D$5, 0, (ROW()-18)*4)</f>
        <v>70.8666815112163</v>
      </c>
      <c r="D19" s="139" t="n">
        <f aca="true">OFFSET($D$6, 0, (ROW()-18)*4)</f>
        <v>70.5733068692884</v>
      </c>
      <c r="E19" s="140" t="n">
        <f aca="true">OFFSET($D$7, 0, (ROW()-18)*4)</f>
        <v>70.4878061230885</v>
      </c>
      <c r="F19" s="139" t="n">
        <f aca="true">OFFSET($D$8, 0, (ROW()-18)*4)</f>
        <v>0.0683550322628741</v>
      </c>
      <c r="G19" s="139" t="n">
        <f aca="true">OFFSET($D$9, 0, (ROW()-18)*4)</f>
        <v>70.7599050637878</v>
      </c>
      <c r="H19" s="139" t="n">
        <f aca="true">OFFSET($D$10, 0, (ROW()-18)*4)</f>
        <v>70.8370736416452</v>
      </c>
      <c r="I19" s="141" t="n">
        <f aca="true">OFFSET($D$11, 0, (ROW()-18)*4)</f>
        <v>70.8125592630657</v>
      </c>
      <c r="J19" s="84"/>
      <c r="N19" s="84"/>
      <c r="R19" s="84"/>
      <c r="V19" s="84"/>
      <c r="Z19" s="128"/>
      <c r="AA19" s="129"/>
      <c r="AC19" s="130"/>
      <c r="AD19" s="128"/>
      <c r="AE19" s="129"/>
      <c r="AG19" s="130"/>
      <c r="AH19" s="128"/>
      <c r="AI19" s="129"/>
      <c r="AK19" s="130"/>
      <c r="AL19" s="128"/>
      <c r="AM19" s="129"/>
      <c r="AO19" s="130"/>
      <c r="AP19" s="128"/>
      <c r="AQ19" s="129"/>
      <c r="AS19" s="130"/>
      <c r="AT19" s="128"/>
      <c r="AU19" s="129"/>
      <c r="AW19" s="130"/>
      <c r="AX19" s="85"/>
      <c r="AY19" s="133"/>
      <c r="AZ19" s="84"/>
      <c r="BA19" s="131"/>
      <c r="BB19" s="135" t="n">
        <f aca="false">AX7-AY7</f>
        <v>83.9972027777801</v>
      </c>
      <c r="BC19" s="136" t="n">
        <f aca="false">AY7-AZ7</f>
        <v>66.9692955871999</v>
      </c>
      <c r="BD19" s="136" t="n">
        <f aca="false">AX7-AZ7</f>
        <v>150.96649836498</v>
      </c>
      <c r="BE19" s="84"/>
      <c r="BI19" s="86"/>
      <c r="BO19" s="84"/>
      <c r="BT19" s="84"/>
      <c r="BY19" s="84"/>
      <c r="CD19" s="84"/>
      <c r="CI19" s="128"/>
      <c r="CJ19" s="129"/>
      <c r="CL19" s="132"/>
      <c r="CM19" s="128"/>
      <c r="CN19" s="129"/>
      <c r="CP19" s="132"/>
      <c r="CQ19" s="128"/>
      <c r="CR19" s="129"/>
      <c r="CT19" s="132"/>
      <c r="CU19" s="128"/>
      <c r="CV19" s="129"/>
      <c r="CX19" s="132"/>
      <c r="CY19" s="128"/>
      <c r="CZ19" s="129"/>
      <c r="DB19" s="132"/>
      <c r="DC19" s="128"/>
      <c r="DD19" s="129"/>
      <c r="DF19" s="132"/>
      <c r="DG19" s="85"/>
      <c r="DH19" s="85"/>
      <c r="DI19" s="84"/>
      <c r="DK19" s="84"/>
      <c r="DP19" s="84"/>
      <c r="DR19" s="59" t="n">
        <f aca="false">IFERROR(__xludf.dummyfunction("FILTER(FILTER('Data Scenarios 3-4'!$A$2:$BX$105,'Data Scenarios 3-4'!$A$1:$BX$1=""P_TransformerLoss""),'Data Scenarios 3-4'!$B$2:$B$105=$A7,'Data Scenarios 3-4'!$C$2:$C$105=""All"",'Data Scenarios 3-4'!$D$2:$D$105=""Mean"")"),83.9972027777777)</f>
        <v>83.9972027777777</v>
      </c>
      <c r="DS19" s="65" t="n">
        <f aca="false">IFERROR(__xludf.dummyfunction("FILTER(FILTER('Data Scenarios 3-4'!$A$2:$BX$105,'Data Scenarios 3-4'!$A$1:$BX$1=""P_ConverterLoss""),'Data Scenarios 3-4'!$B$2:$B$105=$A7,'Data Scenarios 3-4'!$C$2:$C$105=""All"",'Data Scenarios 3-4'!$D$2:$D$105=""Mean"")"),66.9692955871972)</f>
        <v>66.9692955871972</v>
      </c>
      <c r="DT19" s="65" t="n">
        <f aca="false">IFERROR(__xludf.dummyfunction("FILTER(FILTER('Data Scenarios 3-4'!$A$2:$BX$105,'Data Scenarios 3-4'!$A$1:$BX$1=""P_SystemLoss""),'Data Scenarios 3-4'!$B$2:$B$105=$A7,'Data Scenarios 3-4'!$C$2:$C$105=""All"",'Data Scenarios 3-4'!$D$2:$D$105=""Mean"")"),150.966498364975)</f>
        <v>150.966498364975</v>
      </c>
      <c r="DU19" s="84"/>
      <c r="DY19" s="84"/>
      <c r="EC19" s="84"/>
      <c r="EG19" s="84"/>
      <c r="EK19" s="84"/>
    </row>
    <row r="20" customFormat="false" ht="15.75" hidden="false" customHeight="true" outlineLevel="0" collapsed="false">
      <c r="A20" s="37" t="s">
        <v>45</v>
      </c>
      <c r="B20" s="139" t="n">
        <f aca="true">OFFSET($D$4, 0, (ROW()-18)*4)</f>
        <v>0.187310411184318</v>
      </c>
      <c r="C20" s="139" t="n">
        <f aca="true">OFFSET($D$5, 0, (ROW()-18)*4)</f>
        <v>70.3883161164449</v>
      </c>
      <c r="D20" s="139" t="n">
        <f aca="true">OFFSET($D$6, 0, (ROW()-18)*4)</f>
        <v>67.2974019565215</v>
      </c>
      <c r="E20" s="140" t="n">
        <f aca="true">OFFSET($D$7, 0, (ROW()-18)*4)</f>
        <v>67.4557529923396</v>
      </c>
      <c r="F20" s="139" t="n">
        <f aca="true">OFFSET($D$8, 0, (ROW()-18)*4)</f>
        <v>0.18643742547025</v>
      </c>
      <c r="G20" s="139" t="n">
        <f aca="true">OFFSET($D$9, 0, (ROW()-18)*4)</f>
        <v>66.042304297099</v>
      </c>
      <c r="H20" s="139" t="n">
        <f aca="true">OFFSET($D$10, 0, (ROW()-18)*4)</f>
        <v>65.4842245779474</v>
      </c>
      <c r="I20" s="141" t="n">
        <f aca="true">OFFSET($D$11, 0, (ROW()-18)*4)</f>
        <v>65.8012922930931</v>
      </c>
      <c r="J20" s="84"/>
      <c r="N20" s="84"/>
      <c r="R20" s="84"/>
      <c r="V20" s="84"/>
      <c r="Z20" s="128"/>
      <c r="AA20" s="129"/>
      <c r="AC20" s="130"/>
      <c r="AD20" s="128"/>
      <c r="AE20" s="129"/>
      <c r="AG20" s="130"/>
      <c r="AH20" s="128"/>
      <c r="AI20" s="129"/>
      <c r="AK20" s="130"/>
      <c r="AL20" s="128"/>
      <c r="AM20" s="129"/>
      <c r="AO20" s="130"/>
      <c r="AP20" s="128"/>
      <c r="AQ20" s="129"/>
      <c r="AS20" s="130"/>
      <c r="AT20" s="128"/>
      <c r="AU20" s="129"/>
      <c r="AW20" s="130"/>
      <c r="AX20" s="85"/>
      <c r="AY20" s="133"/>
      <c r="AZ20" s="84"/>
      <c r="BA20" s="131"/>
      <c r="BB20" s="135" t="n">
        <f aca="false">AX8-AY8</f>
        <v>51.5191539611111</v>
      </c>
      <c r="BC20" s="136" t="n">
        <f aca="false">AY8-AZ8</f>
        <v>2.44214930815398</v>
      </c>
      <c r="BD20" s="136" t="n">
        <f aca="false">AX8-AZ8</f>
        <v>53.9613032692651</v>
      </c>
      <c r="BE20" s="84"/>
      <c r="BI20" s="86"/>
      <c r="BO20" s="84"/>
      <c r="BT20" s="84"/>
      <c r="BY20" s="84"/>
      <c r="CD20" s="84"/>
      <c r="CI20" s="128"/>
      <c r="CJ20" s="129"/>
      <c r="CL20" s="132"/>
      <c r="CM20" s="128"/>
      <c r="CN20" s="129"/>
      <c r="CP20" s="132"/>
      <c r="CQ20" s="128"/>
      <c r="CR20" s="129"/>
      <c r="CT20" s="132"/>
      <c r="CU20" s="128"/>
      <c r="CV20" s="129"/>
      <c r="CX20" s="132"/>
      <c r="CY20" s="128"/>
      <c r="CZ20" s="129"/>
      <c r="DB20" s="132"/>
      <c r="DC20" s="128"/>
      <c r="DD20" s="129"/>
      <c r="DF20" s="132"/>
      <c r="DG20" s="85"/>
      <c r="DH20" s="85"/>
      <c r="DI20" s="84"/>
      <c r="DK20" s="84"/>
      <c r="DP20" s="84"/>
      <c r="DR20" s="59" t="n">
        <f aca="false">IFERROR(__xludf.dummyfunction("FILTER(FILTER('Data Scenarios 3-4'!$A$2:$BX$105,'Data Scenarios 3-4'!$A$1:$BX$1=""P_TransformerLoss""),'Data Scenarios 3-4'!$B$2:$B$105=$A8,'Data Scenarios 3-4'!$C$2:$C$105=""All"",'Data Scenarios 3-4'!$D$2:$D$105=""Mean"")"),51.5191539611111)</f>
        <v>51.5191539611111</v>
      </c>
      <c r="DS20" s="65" t="n">
        <f aca="false">IFERROR(__xludf.dummyfunction("FILTER(FILTER('Data Scenarios 3-4'!$A$2:$BX$105,'Data Scenarios 3-4'!$A$1:$BX$1=""P_ConverterLoss""),'Data Scenarios 3-4'!$B$2:$B$105=$A8,'Data Scenarios 3-4'!$C$2:$C$105=""All"",'Data Scenarios 3-4'!$D$2:$D$105=""Mean"")"),2.44214930815397)</f>
        <v>2.44214930815397</v>
      </c>
      <c r="DT20" s="65" t="n">
        <f aca="false">IFERROR(__xludf.dummyfunction("FILTER(FILTER('Data Scenarios 3-4'!$A$2:$BX$105,'Data Scenarios 3-4'!$A$1:$BX$1=""P_SystemLoss""),'Data Scenarios 3-4'!$B$2:$B$105=$A8,'Data Scenarios 3-4'!$C$2:$C$105=""All"",'Data Scenarios 3-4'!$D$2:$D$105=""Mean"")"),53.961303269265)</f>
        <v>53.961303269265</v>
      </c>
      <c r="DU20" s="84"/>
      <c r="DY20" s="84"/>
      <c r="EC20" s="84"/>
      <c r="EG20" s="84"/>
      <c r="EK20" s="84"/>
    </row>
    <row r="21" customFormat="false" ht="12.8" hidden="false" customHeight="false" outlineLevel="0" collapsed="false">
      <c r="A21" s="37" t="s">
        <v>126</v>
      </c>
      <c r="B21" s="139" t="n">
        <f aca="true">OFFSET($D$4, 0, (ROW()-18)*4)</f>
        <v>0.989670550117062</v>
      </c>
      <c r="C21" s="139" t="n">
        <f aca="true">OFFSET($D$5, 0, (ROW()-18)*4)</f>
        <v>27.6064588461497</v>
      </c>
      <c r="D21" s="139" t="n">
        <f aca="true">OFFSET($D$6, 0, (ROW()-18)*4)</f>
        <v>28.9103699168628</v>
      </c>
      <c r="E21" s="140" t="n">
        <f aca="true">OFFSET($D$7, 0, (ROW()-18)*4)</f>
        <v>29.2317990928027</v>
      </c>
      <c r="F21" s="139" t="n">
        <f aca="true">OFFSET($D$8, 0, (ROW()-18)*4)</f>
        <v>0.992906718999524</v>
      </c>
      <c r="G21" s="139" t="n">
        <f aca="true">OFFSET($D$9, 0, (ROW()-18)*4)</f>
        <v>29.2724573753837</v>
      </c>
      <c r="H21" s="139" t="n">
        <f aca="true">OFFSET($D$10, 0, (ROW()-18)*4)</f>
        <v>29.2880039106994</v>
      </c>
      <c r="I21" s="141" t="n">
        <f aca="true">OFFSET($D$11, 0, (ROW()-18)*4)</f>
        <v>29.3258450541184</v>
      </c>
      <c r="J21" s="84"/>
      <c r="N21" s="84"/>
      <c r="R21" s="84"/>
      <c r="V21" s="84"/>
      <c r="Z21" s="128"/>
      <c r="AA21" s="129"/>
      <c r="AC21" s="130"/>
      <c r="AD21" s="128"/>
      <c r="AE21" s="129"/>
      <c r="AG21" s="130"/>
      <c r="AH21" s="128"/>
      <c r="AI21" s="129"/>
      <c r="AK21" s="130"/>
      <c r="AL21" s="128"/>
      <c r="AM21" s="129"/>
      <c r="AO21" s="130"/>
      <c r="AP21" s="128"/>
      <c r="AQ21" s="129"/>
      <c r="AS21" s="130"/>
      <c r="AT21" s="128"/>
      <c r="AU21" s="129"/>
      <c r="AW21" s="130"/>
      <c r="AX21" s="85"/>
      <c r="AY21" s="84"/>
      <c r="AZ21" s="84"/>
      <c r="BA21" s="131"/>
      <c r="BB21" s="135" t="n">
        <f aca="false">AX9-AY9</f>
        <v>93.85481388889</v>
      </c>
      <c r="BC21" s="136" t="n">
        <f aca="false">AY9-AZ9</f>
        <v>68.0616211873698</v>
      </c>
      <c r="BD21" s="136" t="n">
        <f aca="false">AX9-AZ9</f>
        <v>161.91643507626</v>
      </c>
      <c r="BE21" s="84"/>
      <c r="BI21" s="86"/>
      <c r="BO21" s="84"/>
      <c r="BT21" s="84"/>
      <c r="BY21" s="84"/>
      <c r="CD21" s="84"/>
      <c r="CI21" s="128"/>
      <c r="CJ21" s="129"/>
      <c r="CL21" s="132"/>
      <c r="CM21" s="128"/>
      <c r="CN21" s="129"/>
      <c r="CP21" s="132"/>
      <c r="CQ21" s="128"/>
      <c r="CR21" s="129"/>
      <c r="CT21" s="132"/>
      <c r="CU21" s="128"/>
      <c r="CV21" s="129"/>
      <c r="CX21" s="132"/>
      <c r="CY21" s="128"/>
      <c r="CZ21" s="129"/>
      <c r="DB21" s="132"/>
      <c r="DC21" s="128"/>
      <c r="DD21" s="129"/>
      <c r="DF21" s="132"/>
      <c r="DG21" s="85"/>
      <c r="DH21" s="85"/>
      <c r="DI21" s="84"/>
      <c r="DK21" s="84"/>
      <c r="DP21" s="84"/>
      <c r="DR21" s="59" t="n">
        <f aca="false">IFERROR(__xludf.dummyfunction("FILTER(FILTER('Data Scenarios 3-4'!$A$2:$BX$105,'Data Scenarios 3-4'!$A$1:$BX$1=""P_TransformerLoss""),'Data Scenarios 3-4'!$B$2:$B$105=$A9,'Data Scenarios 3-4'!$C$2:$C$105=""All"",'Data Scenarios 3-4'!$D$2:$D$105=""Mean"")"),93.8548138888888)</f>
        <v>93.8548138888888</v>
      </c>
      <c r="DS21" s="65" t="n">
        <f aca="false">IFERROR(__xludf.dummyfunction("FILTER(FILTER('Data Scenarios 3-4'!$A$2:$BX$105,'Data Scenarios 3-4'!$A$1:$BX$1=""P_ConverterLoss""),'Data Scenarios 3-4'!$B$2:$B$105=$A9,'Data Scenarios 3-4'!$C$2:$C$105=""All"",'Data Scenarios 3-4'!$D$2:$D$105=""Mean"")"),68.0616211873674)</f>
        <v>68.0616211873674</v>
      </c>
      <c r="DT21" s="65" t="n">
        <f aca="false">IFERROR(__xludf.dummyfunction("FILTER(FILTER('Data Scenarios 3-4'!$A$2:$BX$105,'Data Scenarios 3-4'!$A$1:$BX$1=""P_SystemLoss""),'Data Scenarios 3-4'!$B$2:$B$105=$A9,'Data Scenarios 3-4'!$C$2:$C$105=""All"",'Data Scenarios 3-4'!$D$2:$D$105=""Mean"")"),161.916435076256)</f>
        <v>161.916435076256</v>
      </c>
      <c r="DU21" s="84"/>
      <c r="DY21" s="84"/>
      <c r="EC21" s="84"/>
      <c r="EG21" s="84"/>
      <c r="EK21" s="84"/>
    </row>
    <row r="22" customFormat="false" ht="15.75" hidden="false" customHeight="true" outlineLevel="0" collapsed="false">
      <c r="A22" s="37" t="s">
        <v>127</v>
      </c>
      <c r="B22" s="139" t="n">
        <f aca="true">OFFSET($D$4, 0, (ROW()-18)*4)</f>
        <v>0.525996209983509</v>
      </c>
      <c r="C22" s="139" t="n">
        <f aca="true">OFFSET($D$5, 0, (ROW()-18)*4)</f>
        <v>28.4490730728101</v>
      </c>
      <c r="D22" s="139" t="n">
        <f aca="true">OFFSET($D$6, 0, (ROW()-18)*4)</f>
        <v>28.9197092425491</v>
      </c>
      <c r="E22" s="140" t="n">
        <f aca="true">OFFSET($D$7, 0, (ROW()-18)*4)</f>
        <v>29.0265074352442</v>
      </c>
      <c r="F22" s="139" t="n">
        <f aca="true">OFFSET($D$8, 0, (ROW()-18)*4)</f>
        <v>0.526426799023746</v>
      </c>
      <c r="G22" s="139" t="n">
        <f aca="true">OFFSET($D$9, 0, (ROW()-18)*4)</f>
        <v>29.0591180499591</v>
      </c>
      <c r="H22" s="139" t="n">
        <f aca="true">OFFSET($D$10, 0, (ROW()-18)*4)</f>
        <v>29.109061256602</v>
      </c>
      <c r="I22" s="141" t="n">
        <f aca="true">OFFSET($D$11, 0, (ROW()-18)*4)</f>
        <v>29.1270800910998</v>
      </c>
      <c r="J22" s="84"/>
      <c r="N22" s="84"/>
      <c r="R22" s="84"/>
      <c r="V22" s="84"/>
      <c r="Z22" s="128"/>
      <c r="AA22" s="129"/>
      <c r="AC22" s="130"/>
      <c r="AD22" s="128"/>
      <c r="AE22" s="129"/>
      <c r="AG22" s="130"/>
      <c r="AH22" s="128"/>
      <c r="AI22" s="129"/>
      <c r="AK22" s="130"/>
      <c r="AL22" s="128"/>
      <c r="AM22" s="129"/>
      <c r="AO22" s="130"/>
      <c r="AP22" s="128"/>
      <c r="AQ22" s="129"/>
      <c r="AS22" s="130"/>
      <c r="AT22" s="128"/>
      <c r="AU22" s="129"/>
      <c r="AW22" s="130"/>
      <c r="AX22" s="85"/>
      <c r="AY22" s="84"/>
      <c r="AZ22" s="84"/>
      <c r="BA22" s="131"/>
      <c r="BB22" s="135" t="n">
        <f aca="false">AX10-AY10</f>
        <v>89.57119333333</v>
      </c>
      <c r="BC22" s="136" t="n">
        <f aca="false">AY10-AZ10</f>
        <v>66.4593839166</v>
      </c>
      <c r="BD22" s="136" t="n">
        <f aca="false">AX10-AZ10</f>
        <v>156.03057724993</v>
      </c>
      <c r="BE22" s="84"/>
      <c r="BI22" s="86"/>
      <c r="BO22" s="84"/>
      <c r="BT22" s="84"/>
      <c r="BY22" s="84"/>
      <c r="CD22" s="84"/>
      <c r="CI22" s="128"/>
      <c r="CJ22" s="129"/>
      <c r="CL22" s="132"/>
      <c r="CM22" s="128"/>
      <c r="CN22" s="129"/>
      <c r="CP22" s="132"/>
      <c r="CQ22" s="128"/>
      <c r="CR22" s="129"/>
      <c r="CT22" s="132"/>
      <c r="CU22" s="128"/>
      <c r="CV22" s="129"/>
      <c r="CX22" s="132"/>
      <c r="CY22" s="128"/>
      <c r="CZ22" s="129"/>
      <c r="DB22" s="132"/>
      <c r="DC22" s="128"/>
      <c r="DD22" s="129"/>
      <c r="DF22" s="132"/>
      <c r="DG22" s="85"/>
      <c r="DH22" s="85"/>
      <c r="DI22" s="84"/>
      <c r="DK22" s="84"/>
      <c r="DP22" s="84"/>
      <c r="DR22" s="59" t="n">
        <f aca="false">IFERROR(__xludf.dummyfunction("FILTER(FILTER('Data Scenarios 3-4'!$A$2:$BX$105,'Data Scenarios 3-4'!$A$1:$BX$1=""P_TransformerLoss""),'Data Scenarios 3-4'!$B$2:$B$105=$A10,'Data Scenarios 3-4'!$C$2:$C$105=""All"",'Data Scenarios 3-4'!$D$2:$D$105=""Mean"")"),89.5711933333333)</f>
        <v>89.5711933333333</v>
      </c>
      <c r="DS22" s="65" t="n">
        <f aca="false">IFERROR(__xludf.dummyfunction("FILTER(FILTER('Data Scenarios 3-4'!$A$2:$BX$105,'Data Scenarios 3-4'!$A$1:$BX$1=""P_ConverterLoss""),'Data Scenarios 3-4'!$B$2:$B$105=$A10,'Data Scenarios 3-4'!$C$2:$C$105=""All"",'Data Scenarios 3-4'!$D$2:$D$105=""Mean"")"),66.4593839165984)</f>
        <v>66.4593839165984</v>
      </c>
      <c r="DT22" s="65" t="n">
        <f aca="false">IFERROR(__xludf.dummyfunction("FILTER(FILTER('Data Scenarios 3-4'!$A$2:$BX$105,'Data Scenarios 3-4'!$A$1:$BX$1=""P_SystemLoss""),'Data Scenarios 3-4'!$B$2:$B$105=$A10,'Data Scenarios 3-4'!$C$2:$C$105=""All"",'Data Scenarios 3-4'!$D$2:$D$105=""Mean"")"),156.030577249931)</f>
        <v>156.030577249931</v>
      </c>
      <c r="DU22" s="84"/>
      <c r="DY22" s="84"/>
      <c r="EC22" s="84"/>
      <c r="EG22" s="84"/>
      <c r="EK22" s="84"/>
    </row>
    <row r="23" customFormat="false" ht="12.8" hidden="false" customHeight="false" outlineLevel="0" collapsed="false">
      <c r="A23" s="37" t="s">
        <v>128</v>
      </c>
      <c r="B23" s="139" t="n">
        <f aca="true">OFFSET($D$4, 0, (ROW()-18)*4)</f>
        <v>1.00775971824673</v>
      </c>
      <c r="C23" s="139" t="n">
        <f aca="true">OFFSET($D$5, 0, (ROW()-18)*4)</f>
        <v>27.6150130954887</v>
      </c>
      <c r="D23" s="139" t="n">
        <f aca="true">OFFSET($D$6, 0, (ROW()-18)*4)</f>
        <v>28.0883110020108</v>
      </c>
      <c r="E23" s="140" t="n">
        <f aca="true">OFFSET($D$7, 0, (ROW()-18)*4)</f>
        <v>28.1704635760615</v>
      </c>
      <c r="F23" s="139" t="n">
        <f aca="true">OFFSET($D$8, 0, (ROW()-18)*4)</f>
        <v>1.00703187018109</v>
      </c>
      <c r="G23" s="139" t="n">
        <f aca="true">OFFSET($D$9, 0, (ROW()-18)*4)</f>
        <v>28.4647649225266</v>
      </c>
      <c r="H23" s="139" t="n">
        <f aca="true">OFFSET($D$10, 0, (ROW()-18)*4)</f>
        <v>28.4403025651083</v>
      </c>
      <c r="I23" s="141" t="n">
        <f aca="true">OFFSET($D$11, 0, (ROW()-18)*4)</f>
        <v>28.4428820793702</v>
      </c>
      <c r="J23" s="84"/>
      <c r="N23" s="84"/>
      <c r="R23" s="84"/>
      <c r="V23" s="84"/>
      <c r="Z23" s="128"/>
      <c r="AA23" s="129"/>
      <c r="AC23" s="130"/>
      <c r="AD23" s="128"/>
      <c r="AE23" s="129"/>
      <c r="AG23" s="130"/>
      <c r="AH23" s="128"/>
      <c r="AI23" s="129"/>
      <c r="AK23" s="130"/>
      <c r="AL23" s="128"/>
      <c r="AM23" s="129"/>
      <c r="AO23" s="130"/>
      <c r="AP23" s="128"/>
      <c r="AQ23" s="129"/>
      <c r="AS23" s="130"/>
      <c r="AT23" s="128"/>
      <c r="AU23" s="129"/>
      <c r="AW23" s="130"/>
      <c r="AX23" s="85"/>
      <c r="AY23" s="84"/>
      <c r="AZ23" s="84"/>
      <c r="BA23" s="131"/>
      <c r="BB23" s="135" t="n">
        <f aca="false">AX11-AY11</f>
        <v>84.58315888889</v>
      </c>
      <c r="BC23" s="136" t="n">
        <f aca="false">AY11-AZ11</f>
        <v>67.37111882104</v>
      </c>
      <c r="BD23" s="136" t="n">
        <f aca="false">AX11-AZ11</f>
        <v>151.95427770993</v>
      </c>
      <c r="BE23" s="84"/>
      <c r="BI23" s="86"/>
      <c r="BO23" s="84"/>
      <c r="BT23" s="84"/>
      <c r="BY23" s="84"/>
      <c r="CD23" s="84"/>
      <c r="CI23" s="128"/>
      <c r="CJ23" s="129"/>
      <c r="CL23" s="132"/>
      <c r="CM23" s="128"/>
      <c r="CN23" s="129"/>
      <c r="CP23" s="132"/>
      <c r="CQ23" s="128"/>
      <c r="CR23" s="129"/>
      <c r="CT23" s="132"/>
      <c r="CU23" s="128"/>
      <c r="CV23" s="129"/>
      <c r="CX23" s="132"/>
      <c r="CY23" s="128"/>
      <c r="CZ23" s="129"/>
      <c r="DB23" s="132"/>
      <c r="DC23" s="128"/>
      <c r="DD23" s="129"/>
      <c r="DF23" s="132"/>
      <c r="DG23" s="85"/>
      <c r="DH23" s="85"/>
      <c r="DI23" s="84"/>
      <c r="DK23" s="84"/>
      <c r="DP23" s="84"/>
      <c r="DR23" s="59" t="n">
        <f aca="false">IFERROR(__xludf.dummyfunction("FILTER(FILTER('Data Scenarios 3-4'!$A$2:$BX$105,'Data Scenarios 3-4'!$A$1:$BX$1=""P_TransformerLoss""),'Data Scenarios 3-4'!$B$2:$B$105=$A11,'Data Scenarios 3-4'!$C$2:$C$105=""All"",'Data Scenarios 3-4'!$D$2:$D$105=""Mean"")"),84.5831588888888)</f>
        <v>84.5831588888888</v>
      </c>
      <c r="DS23" s="65" t="n">
        <f aca="false">IFERROR(__xludf.dummyfunction("FILTER(FILTER('Data Scenarios 3-4'!$A$2:$BX$105,'Data Scenarios 3-4'!$A$1:$BX$1=""P_ConverterLoss""),'Data Scenarios 3-4'!$B$2:$B$105=$A11,'Data Scenarios 3-4'!$C$2:$C$105=""All"",'Data Scenarios 3-4'!$D$2:$D$105=""Mean"")"),67.3711188210369)</f>
        <v>67.3711188210369</v>
      </c>
      <c r="DT23" s="65" t="n">
        <f aca="false">IFERROR(__xludf.dummyfunction("FILTER(FILTER('Data Scenarios 3-4'!$A$2:$BX$105,'Data Scenarios 3-4'!$A$1:$BX$1=""P_SystemLoss""),'Data Scenarios 3-4'!$B$2:$B$105=$A11,'Data Scenarios 3-4'!$C$2:$C$105=""All"",'Data Scenarios 3-4'!$D$2:$D$105=""Mean"")"),151.954277709925)</f>
        <v>151.954277709925</v>
      </c>
      <c r="DU23" s="84"/>
      <c r="DY23" s="84"/>
      <c r="EC23" s="84"/>
      <c r="EG23" s="84"/>
      <c r="EK23" s="84"/>
    </row>
    <row r="24" customFormat="false" ht="12.8" hidden="false" customHeight="false" outlineLevel="0" collapsed="false">
      <c r="A24" s="37" t="s">
        <v>117</v>
      </c>
      <c r="B24" s="139" t="n">
        <f aca="true">OFFSET($D$4, 0, (ROW()-18)*4)</f>
        <v>0</v>
      </c>
      <c r="C24" s="139" t="n">
        <f aca="true">OFFSET($D$5, 0, (ROW()-18)*4)</f>
        <v>0</v>
      </c>
      <c r="D24" s="139" t="n">
        <f aca="true">OFFSET($D$6, 0, (ROW()-18)*4)</f>
        <v>193.10465162037</v>
      </c>
      <c r="E24" s="140" t="n">
        <f aca="true">OFFSET($D$7, 0, (ROW()-18)*4)</f>
        <v>0</v>
      </c>
      <c r="F24" s="139" t="n">
        <f aca="true">OFFSET($D$8, 0, (ROW()-18)*4)</f>
        <v>0</v>
      </c>
      <c r="G24" s="139" t="n">
        <f aca="true">OFFSET($D$9, 0, (ROW()-18)*4)</f>
        <v>192.85415625</v>
      </c>
      <c r="H24" s="139" t="n">
        <f aca="true">OFFSET($D$10, 0, (ROW()-18)*4)</f>
        <v>193.349756944444</v>
      </c>
      <c r="I24" s="141" t="n">
        <f aca="true">OFFSET($D$11, 0, (ROW()-18)*4)</f>
        <v>193.108246527777</v>
      </c>
      <c r="J24" s="84"/>
      <c r="N24" s="84"/>
      <c r="R24" s="84"/>
      <c r="V24" s="84"/>
      <c r="Z24" s="128"/>
      <c r="AA24" s="129"/>
      <c r="AC24" s="130"/>
      <c r="AD24" s="128"/>
      <c r="AE24" s="129"/>
      <c r="AG24" s="130"/>
      <c r="AH24" s="128"/>
      <c r="AI24" s="129"/>
      <c r="AK24" s="130"/>
      <c r="AL24" s="128"/>
      <c r="AM24" s="129"/>
      <c r="AO24" s="130"/>
      <c r="AP24" s="128"/>
      <c r="AQ24" s="129"/>
      <c r="AS24" s="130"/>
      <c r="AT24" s="128"/>
      <c r="AU24" s="129"/>
      <c r="AW24" s="130"/>
      <c r="AX24" s="85"/>
      <c r="AY24" s="84"/>
      <c r="AZ24" s="84"/>
      <c r="BA24" s="131"/>
      <c r="BB24" s="84"/>
      <c r="BE24" s="84"/>
      <c r="BI24" s="86"/>
      <c r="BO24" s="84"/>
      <c r="BT24" s="84"/>
      <c r="BY24" s="84"/>
      <c r="CD24" s="84"/>
      <c r="CI24" s="128"/>
      <c r="CJ24" s="129"/>
      <c r="CL24" s="132"/>
      <c r="CM24" s="128"/>
      <c r="CN24" s="129"/>
      <c r="CP24" s="132"/>
      <c r="CQ24" s="128"/>
      <c r="CR24" s="129"/>
      <c r="CT24" s="132"/>
      <c r="CU24" s="128"/>
      <c r="CV24" s="129"/>
      <c r="CX24" s="132"/>
      <c r="CY24" s="128"/>
      <c r="CZ24" s="129"/>
      <c r="DB24" s="132"/>
      <c r="DC24" s="128"/>
      <c r="DD24" s="129"/>
      <c r="DF24" s="132"/>
      <c r="DG24" s="85"/>
      <c r="DH24" s="85"/>
      <c r="DI24" s="84"/>
      <c r="DK24" s="84"/>
      <c r="DP24" s="84"/>
      <c r="DU24" s="84"/>
      <c r="DY24" s="84"/>
      <c r="EC24" s="84"/>
      <c r="EG24" s="84"/>
      <c r="EK24" s="84"/>
    </row>
    <row r="25" customFormat="false" ht="12.8" hidden="false" customHeight="false" outlineLevel="0" collapsed="false">
      <c r="A25" s="37" t="s">
        <v>118</v>
      </c>
      <c r="B25" s="139" t="n">
        <f aca="true">OFFSET($D$4, 0, (ROW()-18)*4)</f>
        <v>0</v>
      </c>
      <c r="C25" s="139" t="n">
        <f aca="true">OFFSET($D$5, 0, (ROW()-18)*4)</f>
        <v>0</v>
      </c>
      <c r="D25" s="139" t="n">
        <f aca="true">OFFSET($D$6, 0, (ROW()-18)*4)</f>
        <v>179.95771875</v>
      </c>
      <c r="E25" s="140" t="n">
        <f aca="true">OFFSET($D$7, 0, (ROW()-18)*4)</f>
        <v>0</v>
      </c>
      <c r="F25" s="139" t="n">
        <f aca="true">OFFSET($D$8, 0, (ROW()-18)*4)</f>
        <v>0</v>
      </c>
      <c r="G25" s="139" t="n">
        <f aca="true">OFFSET($D$9, 0, (ROW()-18)*4)</f>
        <v>0</v>
      </c>
      <c r="H25" s="139" t="n">
        <f aca="true">OFFSET($D$10, 0, (ROW()-18)*4)</f>
        <v>0</v>
      </c>
      <c r="I25" s="141" t="n">
        <f aca="true">OFFSET($D$11, 0, (ROW()-18)*4)</f>
        <v>0</v>
      </c>
      <c r="J25" s="84"/>
      <c r="N25" s="84"/>
      <c r="R25" s="84"/>
      <c r="V25" s="84"/>
      <c r="Z25" s="128"/>
      <c r="AA25" s="129"/>
      <c r="AC25" s="130"/>
      <c r="AD25" s="128"/>
      <c r="AE25" s="129"/>
      <c r="AG25" s="130"/>
      <c r="AH25" s="128"/>
      <c r="AI25" s="129"/>
      <c r="AK25" s="130"/>
      <c r="AL25" s="128"/>
      <c r="AM25" s="129"/>
      <c r="AO25" s="130"/>
      <c r="AP25" s="128"/>
      <c r="AQ25" s="129"/>
      <c r="AS25" s="130"/>
      <c r="AT25" s="128"/>
      <c r="AU25" s="129"/>
      <c r="AW25" s="130"/>
      <c r="AX25" s="85"/>
      <c r="AY25" s="84"/>
      <c r="AZ25" s="84"/>
      <c r="BA25" s="131"/>
      <c r="BB25" s="84"/>
      <c r="BE25" s="84"/>
      <c r="BI25" s="86"/>
      <c r="BO25" s="84"/>
      <c r="BT25" s="84"/>
      <c r="BY25" s="84"/>
      <c r="CD25" s="84"/>
      <c r="CI25" s="128"/>
      <c r="CJ25" s="129"/>
      <c r="CL25" s="132"/>
      <c r="CM25" s="128"/>
      <c r="CN25" s="129"/>
      <c r="CP25" s="132"/>
      <c r="CQ25" s="128"/>
      <c r="CR25" s="129"/>
      <c r="CT25" s="132"/>
      <c r="CU25" s="128"/>
      <c r="CV25" s="129"/>
      <c r="CX25" s="132"/>
      <c r="CY25" s="128"/>
      <c r="CZ25" s="129"/>
      <c r="DB25" s="132"/>
      <c r="DC25" s="128"/>
      <c r="DD25" s="129"/>
      <c r="DF25" s="132"/>
      <c r="DG25" s="85"/>
      <c r="DH25" s="85"/>
      <c r="DI25" s="84"/>
      <c r="DK25" s="84"/>
      <c r="DP25" s="84"/>
      <c r="DU25" s="84"/>
      <c r="DY25" s="84"/>
      <c r="EC25" s="84"/>
      <c r="EG25" s="84"/>
      <c r="EK25" s="84"/>
    </row>
    <row r="26" customFormat="false" ht="12.8" hidden="false" customHeight="false" outlineLevel="0" collapsed="false">
      <c r="A26" s="37" t="s">
        <v>119</v>
      </c>
      <c r="B26" s="139" t="n">
        <f aca="true">OFFSET($D$4, 0, (ROW()-18)*4)</f>
        <v>0</v>
      </c>
      <c r="C26" s="139" t="n">
        <f aca="true">OFFSET($D$5, 0, (ROW()-18)*4)</f>
        <v>0</v>
      </c>
      <c r="D26" s="139" t="n">
        <f aca="true">OFFSET($D$6, 0, (ROW()-18)*4)</f>
        <v>185.572726851851</v>
      </c>
      <c r="E26" s="140" t="n">
        <f aca="true">OFFSET($D$7, 0, (ROW()-18)*4)</f>
        <v>0</v>
      </c>
      <c r="F26" s="139" t="n">
        <f aca="true">OFFSET($D$8, 0, (ROW()-18)*4)</f>
        <v>0</v>
      </c>
      <c r="G26" s="139" t="n">
        <f aca="true">OFFSET($D$9, 0, (ROW()-18)*4)</f>
        <v>189.227229166666</v>
      </c>
      <c r="H26" s="139" t="n">
        <f aca="true">OFFSET($D$10, 0, (ROW()-18)*4)</f>
        <v>188.950756944444</v>
      </c>
      <c r="I26" s="141" t="n">
        <f aca="true">OFFSET($D$11, 0, (ROW()-18)*4)</f>
        <v>0</v>
      </c>
      <c r="J26" s="84"/>
      <c r="N26" s="84"/>
      <c r="R26" s="84"/>
      <c r="V26" s="84"/>
      <c r="Z26" s="128"/>
      <c r="AA26" s="129"/>
      <c r="AC26" s="130"/>
      <c r="AD26" s="128"/>
      <c r="AE26" s="129"/>
      <c r="AG26" s="130"/>
      <c r="AH26" s="128"/>
      <c r="AI26" s="129"/>
      <c r="AK26" s="130"/>
      <c r="AL26" s="128"/>
      <c r="AM26" s="129"/>
      <c r="AO26" s="130"/>
      <c r="AP26" s="128"/>
      <c r="AQ26" s="129"/>
      <c r="AS26" s="130"/>
      <c r="AT26" s="128"/>
      <c r="AU26" s="129"/>
      <c r="AW26" s="130"/>
      <c r="AX26" s="85"/>
      <c r="AY26" s="84"/>
      <c r="AZ26" s="84"/>
      <c r="BA26" s="131"/>
      <c r="BB26" s="84"/>
      <c r="BE26" s="84"/>
      <c r="BI26" s="86"/>
      <c r="BO26" s="84"/>
      <c r="BT26" s="84"/>
      <c r="BY26" s="84"/>
      <c r="CD26" s="84"/>
      <c r="CI26" s="128"/>
      <c r="CJ26" s="129"/>
      <c r="CL26" s="132"/>
      <c r="CM26" s="128"/>
      <c r="CN26" s="129"/>
      <c r="CP26" s="132"/>
      <c r="CQ26" s="128"/>
      <c r="CR26" s="129"/>
      <c r="CT26" s="132"/>
      <c r="CU26" s="128"/>
      <c r="CV26" s="129"/>
      <c r="CX26" s="132"/>
      <c r="CY26" s="128"/>
      <c r="CZ26" s="129"/>
      <c r="DB26" s="132"/>
      <c r="DC26" s="128"/>
      <c r="DD26" s="129"/>
      <c r="DF26" s="132"/>
      <c r="DG26" s="85"/>
      <c r="DH26" s="85"/>
      <c r="DI26" s="84"/>
      <c r="DK26" s="84"/>
      <c r="DP26" s="84"/>
      <c r="DU26" s="84"/>
      <c r="DY26" s="84"/>
      <c r="EC26" s="84"/>
      <c r="EG26" s="84"/>
      <c r="EK26" s="84"/>
    </row>
    <row r="27" customFormat="false" ht="12.8" hidden="false" customHeight="false" outlineLevel="0" collapsed="false">
      <c r="A27" s="37" t="s">
        <v>120</v>
      </c>
      <c r="B27" s="139" t="n">
        <f aca="true">OFFSET($D$4, 0, (ROW()-18)*4)</f>
        <v>0</v>
      </c>
      <c r="C27" s="139" t="n">
        <f aca="true">OFFSET($D$5, 0, (ROW()-18)*4)</f>
        <v>0</v>
      </c>
      <c r="D27" s="139" t="n">
        <f aca="true">OFFSET($D$6, 0, (ROW()-18)*4)</f>
        <v>0</v>
      </c>
      <c r="E27" s="140" t="n">
        <f aca="true">OFFSET($D$7, 0, (ROW()-18)*4)</f>
        <v>384.697996527777</v>
      </c>
      <c r="F27" s="139" t="n">
        <f aca="true">OFFSET($D$8, 0, (ROW()-18)*4)</f>
        <v>0</v>
      </c>
      <c r="G27" s="139" t="n">
        <f aca="true">OFFSET($D$9, 0, (ROW()-18)*4)</f>
        <v>383.774104166666</v>
      </c>
      <c r="H27" s="139" t="n">
        <f aca="true">OFFSET($D$10, 0, (ROW()-18)*4)</f>
        <v>0</v>
      </c>
      <c r="I27" s="141" t="n">
        <f aca="true">OFFSET($D$11, 0, (ROW()-18)*4)</f>
        <v>384.362163194444</v>
      </c>
      <c r="J27" s="84"/>
      <c r="N27" s="84"/>
      <c r="R27" s="84"/>
      <c r="V27" s="84"/>
      <c r="Z27" s="128"/>
      <c r="AA27" s="129"/>
      <c r="AC27" s="130"/>
      <c r="AD27" s="128"/>
      <c r="AE27" s="129"/>
      <c r="AG27" s="130"/>
      <c r="AH27" s="128"/>
      <c r="AI27" s="129"/>
      <c r="AK27" s="130"/>
      <c r="AL27" s="128"/>
      <c r="AM27" s="129"/>
      <c r="AO27" s="130"/>
      <c r="AP27" s="128"/>
      <c r="AQ27" s="129"/>
      <c r="AS27" s="130"/>
      <c r="AT27" s="128"/>
      <c r="AU27" s="129"/>
      <c r="AW27" s="130"/>
      <c r="AX27" s="85"/>
      <c r="AY27" s="84"/>
      <c r="AZ27" s="84"/>
      <c r="BA27" s="131"/>
      <c r="BB27" s="84"/>
      <c r="BE27" s="84"/>
      <c r="BI27" s="86"/>
      <c r="BO27" s="84"/>
      <c r="BT27" s="84"/>
      <c r="BY27" s="84"/>
      <c r="CD27" s="84"/>
      <c r="CI27" s="128"/>
      <c r="CJ27" s="129"/>
      <c r="CL27" s="132"/>
      <c r="CM27" s="128"/>
      <c r="CN27" s="129"/>
      <c r="CP27" s="132"/>
      <c r="CQ27" s="128"/>
      <c r="CR27" s="129"/>
      <c r="CT27" s="132"/>
      <c r="CU27" s="128"/>
      <c r="CV27" s="129"/>
      <c r="CX27" s="132"/>
      <c r="CY27" s="128"/>
      <c r="CZ27" s="129"/>
      <c r="DB27" s="132"/>
      <c r="DC27" s="128"/>
      <c r="DD27" s="129"/>
      <c r="DF27" s="132"/>
      <c r="DG27" s="85"/>
      <c r="DH27" s="85"/>
      <c r="DI27" s="84"/>
      <c r="DK27" s="84"/>
      <c r="DP27" s="84"/>
      <c r="DU27" s="84"/>
      <c r="DY27" s="84"/>
      <c r="EC27" s="84"/>
      <c r="EG27" s="84"/>
      <c r="EK27" s="84"/>
    </row>
    <row r="28" customFormat="false" ht="12.8" hidden="false" customHeight="false" outlineLevel="0" collapsed="false">
      <c r="A28" s="37" t="s">
        <v>121</v>
      </c>
      <c r="B28" s="139" t="n">
        <f aca="true">OFFSET($D$4, 0, (ROW()-18)*4)</f>
        <v>0</v>
      </c>
      <c r="C28" s="139" t="n">
        <f aca="true">OFFSET($D$5, 0, (ROW()-18)*4)</f>
        <v>0</v>
      </c>
      <c r="D28" s="139" t="n">
        <f aca="true">OFFSET($D$6, 0, (ROW()-18)*4)</f>
        <v>0</v>
      </c>
      <c r="E28" s="140" t="n">
        <f aca="true">OFFSET($D$7, 0, (ROW()-18)*4)</f>
        <v>384.843461805555</v>
      </c>
      <c r="F28" s="139" t="n">
        <f aca="true">OFFSET($D$8, 0, (ROW()-18)*4)</f>
        <v>0</v>
      </c>
      <c r="G28" s="139" t="n">
        <f aca="true">OFFSET($D$9, 0, (ROW()-18)*4)</f>
        <v>0</v>
      </c>
      <c r="H28" s="139" t="n">
        <f aca="true">OFFSET($D$10, 0, (ROW()-18)*4)</f>
        <v>384.673736111111</v>
      </c>
      <c r="I28" s="141" t="n">
        <f aca="true">OFFSET($D$11, 0, (ROW()-18)*4)</f>
        <v>383.61846875</v>
      </c>
      <c r="J28" s="84"/>
      <c r="N28" s="84"/>
      <c r="R28" s="84"/>
      <c r="V28" s="84"/>
      <c r="Z28" s="128"/>
      <c r="AA28" s="129"/>
      <c r="AC28" s="130"/>
      <c r="AD28" s="128"/>
      <c r="AE28" s="129"/>
      <c r="AG28" s="130"/>
      <c r="AH28" s="128"/>
      <c r="AI28" s="129"/>
      <c r="AK28" s="130"/>
      <c r="AL28" s="128"/>
      <c r="AM28" s="129"/>
      <c r="AO28" s="130"/>
      <c r="AP28" s="128"/>
      <c r="AQ28" s="129"/>
      <c r="AS28" s="130"/>
      <c r="AT28" s="128"/>
      <c r="AU28" s="129"/>
      <c r="AW28" s="130"/>
      <c r="AX28" s="85"/>
      <c r="AY28" s="84"/>
      <c r="AZ28" s="84"/>
      <c r="BA28" s="131"/>
      <c r="BB28" s="84"/>
      <c r="BE28" s="84"/>
      <c r="BI28" s="86"/>
      <c r="BO28" s="84"/>
      <c r="BT28" s="84"/>
      <c r="BY28" s="84"/>
      <c r="CD28" s="84"/>
      <c r="CI28" s="128"/>
      <c r="CJ28" s="129"/>
      <c r="CL28" s="132"/>
      <c r="CM28" s="128"/>
      <c r="CN28" s="129"/>
      <c r="CP28" s="132"/>
      <c r="CQ28" s="128"/>
      <c r="CR28" s="129"/>
      <c r="CT28" s="132"/>
      <c r="CU28" s="128"/>
      <c r="CV28" s="129"/>
      <c r="CX28" s="132"/>
      <c r="CY28" s="128"/>
      <c r="CZ28" s="129"/>
      <c r="DB28" s="132"/>
      <c r="DC28" s="128"/>
      <c r="DD28" s="129"/>
      <c r="DF28" s="132"/>
      <c r="DG28" s="85"/>
      <c r="DH28" s="85"/>
      <c r="DI28" s="84"/>
      <c r="DK28" s="84"/>
      <c r="DP28" s="84"/>
      <c r="DU28" s="84"/>
      <c r="DY28" s="84"/>
      <c r="EC28" s="84"/>
      <c r="EG28" s="84"/>
      <c r="EK28" s="84"/>
    </row>
    <row r="29" customFormat="false" ht="12.8" hidden="false" customHeight="false" outlineLevel="0" collapsed="false">
      <c r="A29" s="37" t="s">
        <v>122</v>
      </c>
      <c r="B29" s="139" t="n">
        <f aca="true">OFFSET($D$4, 0, (ROW()-18)*4)</f>
        <v>0</v>
      </c>
      <c r="C29" s="139" t="n">
        <f aca="true">OFFSET($D$5, 0, (ROW()-18)*4)</f>
        <v>0</v>
      </c>
      <c r="D29" s="139" t="n">
        <f aca="true">OFFSET($D$6, 0, (ROW()-18)*4)</f>
        <v>0</v>
      </c>
      <c r="E29" s="140" t="n">
        <f aca="true">OFFSET($D$7, 0, (ROW()-18)*4)</f>
        <v>397.611256944444</v>
      </c>
      <c r="F29" s="139" t="n">
        <f aca="true">OFFSET($D$8, 0, (ROW()-18)*4)</f>
        <v>0</v>
      </c>
      <c r="G29" s="139" t="n">
        <f aca="true">OFFSET($D$9, 0, (ROW()-18)*4)</f>
        <v>394.717871527777</v>
      </c>
      <c r="H29" s="139" t="n">
        <f aca="true">OFFSET($D$10, 0, (ROW()-18)*4)</f>
        <v>396.256420138888</v>
      </c>
      <c r="I29" s="141" t="n">
        <f aca="true">OFFSET($D$11, 0, (ROW()-18)*4)</f>
        <v>0</v>
      </c>
      <c r="J29" s="84"/>
      <c r="N29" s="84"/>
      <c r="R29" s="84"/>
      <c r="V29" s="84"/>
      <c r="Z29" s="128"/>
      <c r="AA29" s="129"/>
      <c r="AC29" s="130"/>
      <c r="AD29" s="128"/>
      <c r="AE29" s="129"/>
      <c r="AG29" s="130"/>
      <c r="AH29" s="128"/>
      <c r="AI29" s="129"/>
      <c r="AK29" s="130"/>
      <c r="AL29" s="128"/>
      <c r="AM29" s="129"/>
      <c r="AO29" s="130"/>
      <c r="AP29" s="128"/>
      <c r="AQ29" s="129"/>
      <c r="AS29" s="130"/>
      <c r="AT29" s="128"/>
      <c r="AU29" s="129"/>
      <c r="AW29" s="130"/>
      <c r="AX29" s="85"/>
      <c r="AY29" s="84"/>
      <c r="AZ29" s="84"/>
      <c r="BA29" s="131"/>
      <c r="BB29" s="84"/>
      <c r="BE29" s="84"/>
      <c r="BI29" s="86"/>
      <c r="BO29" s="84"/>
      <c r="BT29" s="84"/>
      <c r="BY29" s="84"/>
      <c r="CD29" s="84"/>
      <c r="CI29" s="128"/>
      <c r="CJ29" s="129"/>
      <c r="CL29" s="132"/>
      <c r="CM29" s="128"/>
      <c r="CN29" s="129"/>
      <c r="CP29" s="132"/>
      <c r="CQ29" s="128"/>
      <c r="CR29" s="129"/>
      <c r="CT29" s="132"/>
      <c r="CU29" s="128"/>
      <c r="CV29" s="129"/>
      <c r="CX29" s="132"/>
      <c r="CY29" s="128"/>
      <c r="CZ29" s="129"/>
      <c r="DB29" s="132"/>
      <c r="DC29" s="128"/>
      <c r="DD29" s="129"/>
      <c r="DF29" s="132"/>
      <c r="DG29" s="85"/>
      <c r="DH29" s="85"/>
      <c r="DI29" s="84"/>
      <c r="DK29" s="84"/>
      <c r="DP29" s="84"/>
      <c r="DU29" s="84"/>
      <c r="DY29" s="84"/>
      <c r="EC29" s="84"/>
      <c r="EG29" s="84"/>
      <c r="EK29" s="84"/>
    </row>
    <row r="30" customFormat="false" ht="12.8" hidden="false" customHeight="false" outlineLevel="0" collapsed="false">
      <c r="A30" s="37" t="s">
        <v>129</v>
      </c>
      <c r="B30" s="139" t="n">
        <f aca="false">SUM(B18:B29)</f>
        <v>2.83257688222247</v>
      </c>
      <c r="C30" s="139" t="n">
        <f aca="false">SUM(C18:C29)</f>
        <v>297.591893073831</v>
      </c>
      <c r="D30" s="139" t="n">
        <f aca="false">SUM(D18:D29)</f>
        <v>853.106926086154</v>
      </c>
      <c r="E30" s="139" t="n">
        <f aca="false">SUM(E18:E29)</f>
        <v>1462.19358163502</v>
      </c>
      <c r="F30" s="139" t="n">
        <f aca="false">SUM(F18:F29)</f>
        <v>2.83305467517935</v>
      </c>
      <c r="G30" s="139" t="n">
        <f aca="false">SUM(G18:G29)</f>
        <v>1454.74715853485</v>
      </c>
      <c r="H30" s="139" t="n">
        <f aca="false">SUM(H18:H29)</f>
        <v>1456.91138552784</v>
      </c>
      <c r="I30" s="141" t="n">
        <f aca="false">SUM(I18:I29)</f>
        <v>1255.07939229007</v>
      </c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84"/>
      <c r="AZ30" s="84"/>
      <c r="BA30" s="131"/>
      <c r="BB30" s="84"/>
      <c r="BE30" s="84"/>
      <c r="BI30" s="86"/>
      <c r="BO30" s="84"/>
      <c r="BT30" s="84"/>
      <c r="BY30" s="84"/>
      <c r="CD30" s="84"/>
      <c r="CI30" s="128"/>
      <c r="CJ30" s="129"/>
      <c r="CL30" s="132"/>
      <c r="CM30" s="128"/>
      <c r="CN30" s="129"/>
      <c r="CP30" s="132"/>
      <c r="CQ30" s="128"/>
      <c r="CR30" s="129"/>
      <c r="CT30" s="132"/>
      <c r="CU30" s="128"/>
      <c r="CV30" s="129"/>
      <c r="CX30" s="132"/>
      <c r="CY30" s="128"/>
      <c r="CZ30" s="129"/>
      <c r="DB30" s="132"/>
      <c r="DC30" s="128"/>
      <c r="DD30" s="129"/>
      <c r="DF30" s="132"/>
      <c r="DG30" s="85"/>
      <c r="DH30" s="85"/>
      <c r="DI30" s="84"/>
      <c r="DK30" s="84"/>
      <c r="DP30" s="84"/>
      <c r="DU30" s="84"/>
      <c r="DY30" s="84"/>
      <c r="EC30" s="84"/>
      <c r="EG30" s="84"/>
      <c r="EK30" s="84"/>
    </row>
    <row r="31" customFormat="false" ht="12.8" hidden="false" customHeight="false" outlineLevel="0" collapsed="false">
      <c r="A31" s="37" t="s">
        <v>130</v>
      </c>
      <c r="B31" s="143" t="n">
        <f aca="true">OFFSET($AZ$4, COLUMN()-2, 0)</f>
        <v>2.83257688222247</v>
      </c>
      <c r="C31" s="143" t="n">
        <f aca="true">OFFSET($AZ$4, COLUMN()-2, 0)</f>
        <v>297.591893073831</v>
      </c>
      <c r="D31" s="143" t="n">
        <f aca="true">OFFSET($AZ$4, COLUMN()-2, 0)</f>
        <v>853.106926086155</v>
      </c>
      <c r="E31" s="143" t="n">
        <f aca="true">OFFSET($AZ$4, COLUMN()-2, 0)</f>
        <v>1462.19358163502</v>
      </c>
      <c r="F31" s="143" t="n">
        <f aca="true">OFFSET($AZ$4, COLUMN()-2, 0)</f>
        <v>2.83305467517935</v>
      </c>
      <c r="G31" s="143" t="n">
        <f aca="true">OFFSET($AZ$4, COLUMN()-2, 0)</f>
        <v>1454.74715853485</v>
      </c>
      <c r="H31" s="143" t="n">
        <f aca="true">OFFSET($AZ$4, COLUMN()-2, 0)</f>
        <v>1456.91138552784</v>
      </c>
      <c r="I31" s="143" t="n">
        <f aca="true">OFFSET($AZ$4, COLUMN()-2, 0)</f>
        <v>1255.07939229007</v>
      </c>
      <c r="J31" s="84"/>
      <c r="N31" s="84"/>
      <c r="R31" s="84"/>
      <c r="V31" s="84"/>
      <c r="Z31" s="128"/>
      <c r="AA31" s="129"/>
      <c r="AC31" s="130"/>
      <c r="AD31" s="128"/>
      <c r="AE31" s="129"/>
      <c r="AG31" s="130"/>
      <c r="AH31" s="128"/>
      <c r="AI31" s="129"/>
      <c r="AK31" s="130"/>
      <c r="AL31" s="128"/>
      <c r="AM31" s="129"/>
      <c r="AO31" s="130"/>
      <c r="AP31" s="128"/>
      <c r="AQ31" s="129"/>
      <c r="AS31" s="130"/>
      <c r="AT31" s="128"/>
      <c r="AU31" s="129"/>
      <c r="AW31" s="130"/>
      <c r="AX31" s="85"/>
      <c r="AY31" s="84"/>
      <c r="AZ31" s="84"/>
      <c r="BA31" s="131"/>
      <c r="BB31" s="84"/>
      <c r="BE31" s="84"/>
      <c r="BI31" s="86"/>
      <c r="BO31" s="84"/>
      <c r="BT31" s="84"/>
      <c r="BY31" s="84"/>
      <c r="CD31" s="84"/>
      <c r="CI31" s="128"/>
      <c r="CJ31" s="129"/>
      <c r="CL31" s="132"/>
      <c r="CM31" s="128"/>
      <c r="CN31" s="129"/>
      <c r="CP31" s="132"/>
      <c r="CQ31" s="128"/>
      <c r="CR31" s="129"/>
      <c r="CT31" s="132"/>
      <c r="CU31" s="128"/>
      <c r="CV31" s="129"/>
      <c r="CX31" s="132"/>
      <c r="CY31" s="128"/>
      <c r="CZ31" s="129"/>
      <c r="DB31" s="132"/>
      <c r="DC31" s="128"/>
      <c r="DD31" s="129"/>
      <c r="DF31" s="132"/>
      <c r="DG31" s="85"/>
      <c r="DH31" s="85"/>
      <c r="DI31" s="84"/>
      <c r="DK31" s="84"/>
      <c r="DP31" s="84"/>
      <c r="DU31" s="84"/>
      <c r="DY31" s="84"/>
      <c r="EC31" s="84"/>
      <c r="EG31" s="84"/>
      <c r="EK31" s="84"/>
    </row>
    <row r="32" customFormat="false" ht="12.75" hidden="false" customHeight="false" outlineLevel="0" collapsed="false">
      <c r="A32" s="37"/>
      <c r="E32" s="83"/>
      <c r="J32" s="84"/>
      <c r="N32" s="84"/>
      <c r="R32" s="84"/>
      <c r="V32" s="84"/>
      <c r="Z32" s="128"/>
      <c r="AA32" s="129"/>
      <c r="AC32" s="130"/>
      <c r="AD32" s="128"/>
      <c r="AE32" s="129"/>
      <c r="AG32" s="130"/>
      <c r="AH32" s="128"/>
      <c r="AI32" s="129"/>
      <c r="AK32" s="130"/>
      <c r="AL32" s="128"/>
      <c r="AM32" s="129"/>
      <c r="AO32" s="130"/>
      <c r="AP32" s="128"/>
      <c r="AQ32" s="129"/>
      <c r="AS32" s="130"/>
      <c r="AT32" s="128"/>
      <c r="AU32" s="129"/>
      <c r="AW32" s="130"/>
      <c r="AX32" s="85"/>
      <c r="AY32" s="84"/>
      <c r="AZ32" s="84"/>
      <c r="BA32" s="131"/>
      <c r="BB32" s="84"/>
      <c r="BE32" s="84"/>
      <c r="BI32" s="86"/>
      <c r="BO32" s="84"/>
      <c r="BT32" s="84"/>
      <c r="BY32" s="84"/>
      <c r="CD32" s="84"/>
      <c r="CI32" s="128"/>
      <c r="CJ32" s="129"/>
      <c r="CL32" s="132"/>
      <c r="CM32" s="128"/>
      <c r="CN32" s="129"/>
      <c r="CP32" s="132"/>
      <c r="CQ32" s="128"/>
      <c r="CR32" s="129"/>
      <c r="CT32" s="132"/>
      <c r="CU32" s="128"/>
      <c r="CV32" s="129"/>
      <c r="CX32" s="132"/>
      <c r="CY32" s="128"/>
      <c r="CZ32" s="129"/>
      <c r="DB32" s="132"/>
      <c r="DC32" s="128"/>
      <c r="DD32" s="129"/>
      <c r="DF32" s="132"/>
      <c r="DG32" s="85"/>
      <c r="DH32" s="85"/>
      <c r="DI32" s="84"/>
      <c r="DK32" s="84"/>
      <c r="DP32" s="84"/>
      <c r="DU32" s="84"/>
      <c r="DY32" s="84"/>
      <c r="EC32" s="84"/>
      <c r="EG32" s="84"/>
      <c r="EK32" s="84"/>
    </row>
    <row r="33" customFormat="false" ht="12.8" hidden="false" customHeight="false" outlineLevel="0" collapsed="false">
      <c r="A33" s="37"/>
      <c r="E33" s="83"/>
      <c r="J33" s="84"/>
      <c r="N33" s="84"/>
      <c r="R33" s="84"/>
      <c r="V33" s="84"/>
      <c r="Z33" s="128"/>
      <c r="AA33" s="129"/>
      <c r="AC33" s="130"/>
      <c r="AD33" s="128"/>
      <c r="AE33" s="129"/>
      <c r="AG33" s="130"/>
      <c r="AH33" s="128"/>
      <c r="AI33" s="129"/>
      <c r="AK33" s="130"/>
      <c r="AL33" s="128"/>
      <c r="AM33" s="129"/>
      <c r="AO33" s="130"/>
      <c r="AP33" s="128"/>
      <c r="AQ33" s="129"/>
      <c r="AS33" s="130"/>
      <c r="AT33" s="128"/>
      <c r="AU33" s="129"/>
      <c r="AW33" s="130"/>
      <c r="AX33" s="85"/>
      <c r="AY33" s="84"/>
      <c r="AZ33" s="84"/>
      <c r="BA33" s="131"/>
      <c r="BB33" s="84"/>
      <c r="BE33" s="84"/>
      <c r="BI33" s="86"/>
      <c r="BO33" s="84"/>
      <c r="BT33" s="84"/>
      <c r="BY33" s="84"/>
      <c r="CD33" s="84"/>
      <c r="CI33" s="128"/>
      <c r="CJ33" s="129"/>
      <c r="CL33" s="132"/>
      <c r="CM33" s="128"/>
      <c r="CN33" s="129"/>
      <c r="CP33" s="132"/>
      <c r="CQ33" s="128"/>
      <c r="CR33" s="129"/>
      <c r="CT33" s="132"/>
      <c r="CU33" s="128"/>
      <c r="CV33" s="129"/>
      <c r="CX33" s="132"/>
      <c r="CY33" s="128"/>
      <c r="CZ33" s="129"/>
      <c r="DB33" s="132"/>
      <c r="DC33" s="128"/>
      <c r="DD33" s="129"/>
      <c r="DF33" s="132"/>
      <c r="DG33" s="85"/>
      <c r="DH33" s="85"/>
      <c r="DI33" s="84"/>
      <c r="DK33" s="84"/>
      <c r="DP33" s="84"/>
      <c r="DU33" s="84"/>
      <c r="DY33" s="84"/>
      <c r="EC33" s="84"/>
      <c r="EG33" s="84"/>
      <c r="EK33" s="84"/>
    </row>
    <row r="34" customFormat="false" ht="12.75" hidden="false" customHeight="false" outlineLevel="0" collapsed="false">
      <c r="A34" s="37"/>
      <c r="E34" s="83"/>
      <c r="J34" s="84"/>
      <c r="N34" s="84"/>
      <c r="R34" s="84"/>
      <c r="V34" s="84"/>
      <c r="Z34" s="128"/>
      <c r="AA34" s="129"/>
      <c r="AC34" s="130"/>
      <c r="AD34" s="128"/>
      <c r="AE34" s="129"/>
      <c r="AG34" s="130"/>
      <c r="AH34" s="128"/>
      <c r="AI34" s="129"/>
      <c r="AK34" s="130"/>
      <c r="AL34" s="128"/>
      <c r="AM34" s="129"/>
      <c r="AO34" s="130"/>
      <c r="AP34" s="128"/>
      <c r="AQ34" s="129"/>
      <c r="AS34" s="130"/>
      <c r="AT34" s="128"/>
      <c r="AU34" s="129"/>
      <c r="AW34" s="130"/>
      <c r="AX34" s="85"/>
      <c r="AY34" s="84"/>
      <c r="AZ34" s="84"/>
      <c r="BA34" s="131"/>
      <c r="BB34" s="84"/>
      <c r="BE34" s="84"/>
      <c r="BI34" s="86"/>
      <c r="BO34" s="84"/>
      <c r="BT34" s="84"/>
      <c r="BY34" s="84"/>
      <c r="CD34" s="84"/>
      <c r="CI34" s="128"/>
      <c r="CJ34" s="129"/>
      <c r="CL34" s="132"/>
      <c r="CM34" s="128"/>
      <c r="CN34" s="129"/>
      <c r="CP34" s="132"/>
      <c r="CQ34" s="128"/>
      <c r="CR34" s="129"/>
      <c r="CT34" s="132"/>
      <c r="CU34" s="128"/>
      <c r="CV34" s="129"/>
      <c r="CX34" s="132"/>
      <c r="CY34" s="128"/>
      <c r="CZ34" s="129"/>
      <c r="DB34" s="132"/>
      <c r="DC34" s="128"/>
      <c r="DD34" s="129"/>
      <c r="DF34" s="132"/>
      <c r="DG34" s="85"/>
      <c r="DH34" s="85"/>
      <c r="DI34" s="84"/>
      <c r="DK34" s="84"/>
      <c r="DP34" s="84"/>
      <c r="DU34" s="84"/>
      <c r="DY34" s="84"/>
      <c r="EC34" s="84"/>
      <c r="EG34" s="84"/>
      <c r="EK34" s="84"/>
    </row>
    <row r="35" customFormat="false" ht="12.75" hidden="false" customHeight="false" outlineLevel="0" collapsed="false">
      <c r="A35" s="37"/>
      <c r="E35" s="83"/>
      <c r="J35" s="84"/>
      <c r="N35" s="84"/>
      <c r="R35" s="84"/>
      <c r="V35" s="84"/>
      <c r="Z35" s="128"/>
      <c r="AA35" s="129"/>
      <c r="AC35" s="130"/>
      <c r="AD35" s="128"/>
      <c r="AE35" s="129"/>
      <c r="AG35" s="130"/>
      <c r="AH35" s="128"/>
      <c r="AI35" s="129"/>
      <c r="AK35" s="130"/>
      <c r="AL35" s="128"/>
      <c r="AM35" s="129"/>
      <c r="AO35" s="130"/>
      <c r="AP35" s="128"/>
      <c r="AQ35" s="129"/>
      <c r="AS35" s="130"/>
      <c r="AT35" s="128"/>
      <c r="AU35" s="129"/>
      <c r="AW35" s="130"/>
      <c r="AX35" s="85"/>
      <c r="AY35" s="84"/>
      <c r="AZ35" s="84"/>
      <c r="BA35" s="131"/>
      <c r="BB35" s="84"/>
      <c r="BE35" s="84"/>
      <c r="BI35" s="86"/>
      <c r="BO35" s="84"/>
      <c r="BT35" s="84"/>
      <c r="BY35" s="84"/>
      <c r="CD35" s="84"/>
      <c r="CI35" s="128"/>
      <c r="CJ35" s="129"/>
      <c r="CL35" s="132"/>
      <c r="CM35" s="128"/>
      <c r="CN35" s="129"/>
      <c r="CP35" s="132"/>
      <c r="CQ35" s="128"/>
      <c r="CR35" s="129"/>
      <c r="CT35" s="132"/>
      <c r="CU35" s="128"/>
      <c r="CV35" s="129"/>
      <c r="CX35" s="132"/>
      <c r="CY35" s="128"/>
      <c r="CZ35" s="129"/>
      <c r="DB35" s="132"/>
      <c r="DC35" s="128"/>
      <c r="DD35" s="129"/>
      <c r="DF35" s="132"/>
      <c r="DG35" s="85"/>
      <c r="DH35" s="85"/>
      <c r="DI35" s="84"/>
      <c r="DK35" s="84"/>
      <c r="DP35" s="84"/>
      <c r="DU35" s="84"/>
      <c r="DY35" s="84"/>
      <c r="EC35" s="84"/>
      <c r="EG35" s="84"/>
      <c r="EK35" s="84"/>
    </row>
    <row r="36" customFormat="false" ht="12.75" hidden="false" customHeight="false" outlineLevel="0" collapsed="false">
      <c r="A36" s="37"/>
      <c r="E36" s="83"/>
      <c r="J36" s="84"/>
      <c r="N36" s="84"/>
      <c r="R36" s="84"/>
      <c r="V36" s="84"/>
      <c r="Z36" s="128"/>
      <c r="AA36" s="129"/>
      <c r="AC36" s="130"/>
      <c r="AD36" s="128"/>
      <c r="AE36" s="129"/>
      <c r="AG36" s="130"/>
      <c r="AH36" s="128"/>
      <c r="AI36" s="129"/>
      <c r="AK36" s="130"/>
      <c r="AL36" s="128"/>
      <c r="AM36" s="129"/>
      <c r="AO36" s="130"/>
      <c r="AP36" s="128"/>
      <c r="AQ36" s="129"/>
      <c r="AS36" s="130"/>
      <c r="AT36" s="128"/>
      <c r="AU36" s="129"/>
      <c r="AW36" s="130"/>
      <c r="AX36" s="85"/>
      <c r="AY36" s="84"/>
      <c r="AZ36" s="84"/>
      <c r="BA36" s="131"/>
      <c r="BB36" s="84"/>
      <c r="BE36" s="84"/>
      <c r="BI36" s="86"/>
      <c r="BO36" s="84"/>
      <c r="BT36" s="84"/>
      <c r="BY36" s="84"/>
      <c r="CD36" s="84"/>
      <c r="CI36" s="128"/>
      <c r="CJ36" s="129"/>
      <c r="CL36" s="132"/>
      <c r="CM36" s="128"/>
      <c r="CN36" s="129"/>
      <c r="CP36" s="132"/>
      <c r="CQ36" s="128"/>
      <c r="CR36" s="129"/>
      <c r="CT36" s="132"/>
      <c r="CU36" s="128"/>
      <c r="CV36" s="129"/>
      <c r="CX36" s="132"/>
      <c r="CY36" s="128"/>
      <c r="CZ36" s="129"/>
      <c r="DB36" s="132"/>
      <c r="DC36" s="128"/>
      <c r="DD36" s="129"/>
      <c r="DF36" s="132"/>
      <c r="DG36" s="85"/>
      <c r="DH36" s="85"/>
      <c r="DI36" s="84"/>
      <c r="DK36" s="84"/>
      <c r="DP36" s="84"/>
      <c r="DU36" s="84"/>
      <c r="DY36" s="84"/>
      <c r="EC36" s="84"/>
      <c r="EG36" s="84"/>
      <c r="EK36" s="84"/>
    </row>
    <row r="37" customFormat="false" ht="12.75" hidden="false" customHeight="false" outlineLevel="0" collapsed="false">
      <c r="A37" s="37"/>
      <c r="E37" s="83"/>
      <c r="J37" s="84"/>
      <c r="N37" s="84"/>
      <c r="R37" s="84"/>
      <c r="V37" s="84"/>
      <c r="Z37" s="128"/>
      <c r="AA37" s="129"/>
      <c r="AC37" s="130"/>
      <c r="AD37" s="128"/>
      <c r="AE37" s="129"/>
      <c r="AG37" s="130"/>
      <c r="AH37" s="128"/>
      <c r="AI37" s="129"/>
      <c r="AK37" s="130"/>
      <c r="AL37" s="128"/>
      <c r="AM37" s="129"/>
      <c r="AO37" s="130"/>
      <c r="AP37" s="128"/>
      <c r="AQ37" s="129"/>
      <c r="AS37" s="130"/>
      <c r="AT37" s="128"/>
      <c r="AU37" s="129"/>
      <c r="AW37" s="130"/>
      <c r="AX37" s="85"/>
      <c r="AY37" s="84"/>
      <c r="AZ37" s="84"/>
      <c r="BA37" s="131"/>
      <c r="BB37" s="84"/>
      <c r="BE37" s="84"/>
      <c r="BI37" s="86"/>
      <c r="BO37" s="84"/>
      <c r="BT37" s="84"/>
      <c r="BY37" s="84"/>
      <c r="CD37" s="84"/>
      <c r="CI37" s="128"/>
      <c r="CJ37" s="129"/>
      <c r="CL37" s="132"/>
      <c r="CM37" s="128"/>
      <c r="CN37" s="129"/>
      <c r="CP37" s="132"/>
      <c r="CQ37" s="128"/>
      <c r="CR37" s="129"/>
      <c r="CT37" s="132"/>
      <c r="CU37" s="128"/>
      <c r="CV37" s="129"/>
      <c r="CX37" s="132"/>
      <c r="CY37" s="128"/>
      <c r="CZ37" s="129"/>
      <c r="DB37" s="132"/>
      <c r="DC37" s="128"/>
      <c r="DD37" s="129"/>
      <c r="DF37" s="132"/>
      <c r="DG37" s="85"/>
      <c r="DH37" s="85"/>
      <c r="DI37" s="84"/>
      <c r="DK37" s="84"/>
      <c r="DP37" s="84"/>
      <c r="DU37" s="84"/>
      <c r="DY37" s="84"/>
      <c r="EC37" s="84"/>
      <c r="EG37" s="84"/>
      <c r="EK37" s="84"/>
    </row>
    <row r="38" customFormat="false" ht="12.75" hidden="false" customHeight="false" outlineLevel="0" collapsed="false">
      <c r="A38" s="37"/>
      <c r="E38" s="83"/>
      <c r="J38" s="84"/>
      <c r="N38" s="84"/>
      <c r="R38" s="84"/>
      <c r="V38" s="84"/>
      <c r="Z38" s="128"/>
      <c r="AA38" s="129"/>
      <c r="AC38" s="130"/>
      <c r="AD38" s="128"/>
      <c r="AE38" s="129"/>
      <c r="AG38" s="130"/>
      <c r="AH38" s="128"/>
      <c r="AI38" s="129"/>
      <c r="AK38" s="130"/>
      <c r="AL38" s="128"/>
      <c r="AM38" s="129"/>
      <c r="AO38" s="130"/>
      <c r="AP38" s="128"/>
      <c r="AQ38" s="129"/>
      <c r="AS38" s="130"/>
      <c r="AT38" s="128"/>
      <c r="AU38" s="129"/>
      <c r="AW38" s="130"/>
      <c r="AX38" s="85"/>
      <c r="AY38" s="84"/>
      <c r="AZ38" s="84"/>
      <c r="BA38" s="131"/>
      <c r="BB38" s="84"/>
      <c r="BE38" s="84"/>
      <c r="BI38" s="86"/>
      <c r="BO38" s="84"/>
      <c r="BT38" s="84"/>
      <c r="BY38" s="84"/>
      <c r="CD38" s="84"/>
      <c r="CI38" s="128"/>
      <c r="CJ38" s="129"/>
      <c r="CL38" s="132"/>
      <c r="CM38" s="128"/>
      <c r="CN38" s="129"/>
      <c r="CP38" s="132"/>
      <c r="CQ38" s="128"/>
      <c r="CR38" s="129"/>
      <c r="CT38" s="132"/>
      <c r="CU38" s="128"/>
      <c r="CV38" s="129"/>
      <c r="CX38" s="132"/>
      <c r="CY38" s="128"/>
      <c r="CZ38" s="129"/>
      <c r="DB38" s="132"/>
      <c r="DC38" s="128"/>
      <c r="DD38" s="129"/>
      <c r="DF38" s="132"/>
      <c r="DG38" s="85"/>
      <c r="DH38" s="85"/>
      <c r="DI38" s="84"/>
      <c r="DK38" s="84"/>
      <c r="DP38" s="84"/>
      <c r="DU38" s="84"/>
      <c r="DY38" s="84"/>
      <c r="EC38" s="84"/>
      <c r="EG38" s="84"/>
      <c r="EK38" s="84"/>
    </row>
    <row r="39" customFormat="false" ht="12.75" hidden="false" customHeight="false" outlineLevel="0" collapsed="false">
      <c r="A39" s="37"/>
      <c r="E39" s="83"/>
      <c r="J39" s="84"/>
      <c r="N39" s="84"/>
      <c r="R39" s="84"/>
      <c r="V39" s="84"/>
      <c r="Z39" s="128"/>
      <c r="AA39" s="129"/>
      <c r="AC39" s="130"/>
      <c r="AD39" s="128"/>
      <c r="AE39" s="129"/>
      <c r="AG39" s="130"/>
      <c r="AH39" s="128"/>
      <c r="AI39" s="129"/>
      <c r="AK39" s="130"/>
      <c r="AL39" s="128"/>
      <c r="AM39" s="129"/>
      <c r="AO39" s="130"/>
      <c r="AP39" s="128"/>
      <c r="AQ39" s="129"/>
      <c r="AS39" s="130"/>
      <c r="AT39" s="128"/>
      <c r="AU39" s="129"/>
      <c r="AW39" s="130"/>
      <c r="AX39" s="85"/>
      <c r="AY39" s="84"/>
      <c r="AZ39" s="84"/>
      <c r="BA39" s="131"/>
      <c r="BB39" s="84"/>
      <c r="BE39" s="84"/>
      <c r="BI39" s="86"/>
      <c r="BO39" s="84"/>
      <c r="BT39" s="84"/>
      <c r="BY39" s="84"/>
      <c r="CD39" s="84"/>
      <c r="CI39" s="128"/>
      <c r="CJ39" s="129"/>
      <c r="CL39" s="132"/>
      <c r="CM39" s="128"/>
      <c r="CN39" s="129"/>
      <c r="CP39" s="132"/>
      <c r="CQ39" s="128"/>
      <c r="CR39" s="129"/>
      <c r="CT39" s="132"/>
      <c r="CU39" s="128"/>
      <c r="CV39" s="129"/>
      <c r="CX39" s="132"/>
      <c r="CY39" s="128"/>
      <c r="CZ39" s="129"/>
      <c r="DB39" s="132"/>
      <c r="DC39" s="128"/>
      <c r="DD39" s="129"/>
      <c r="DF39" s="132"/>
      <c r="DG39" s="85"/>
      <c r="DH39" s="85"/>
      <c r="DI39" s="84"/>
      <c r="DK39" s="84"/>
      <c r="DP39" s="84"/>
      <c r="DU39" s="84"/>
      <c r="DY39" s="84"/>
      <c r="EC39" s="84"/>
      <c r="EG39" s="84"/>
      <c r="EK39" s="84"/>
    </row>
    <row r="40" customFormat="false" ht="12.75" hidden="false" customHeight="false" outlineLevel="0" collapsed="false">
      <c r="A40" s="37"/>
      <c r="E40" s="83"/>
      <c r="J40" s="84"/>
      <c r="N40" s="84"/>
      <c r="R40" s="84"/>
      <c r="V40" s="84"/>
      <c r="Z40" s="128"/>
      <c r="AA40" s="129"/>
      <c r="AC40" s="130"/>
      <c r="AD40" s="128"/>
      <c r="AE40" s="129"/>
      <c r="AG40" s="130"/>
      <c r="AH40" s="128"/>
      <c r="AI40" s="129"/>
      <c r="AK40" s="130"/>
      <c r="AL40" s="128"/>
      <c r="AM40" s="129"/>
      <c r="AO40" s="130"/>
      <c r="AP40" s="128"/>
      <c r="AQ40" s="129"/>
      <c r="AS40" s="130"/>
      <c r="AT40" s="128"/>
      <c r="AU40" s="129"/>
      <c r="AW40" s="130"/>
      <c r="AX40" s="85"/>
      <c r="AY40" s="84"/>
      <c r="AZ40" s="84"/>
      <c r="BA40" s="131"/>
      <c r="BB40" s="84"/>
      <c r="BE40" s="84"/>
      <c r="BI40" s="86"/>
      <c r="BO40" s="84"/>
      <c r="BT40" s="84"/>
      <c r="BY40" s="84"/>
      <c r="CD40" s="84"/>
      <c r="CI40" s="128"/>
      <c r="CJ40" s="129"/>
      <c r="CL40" s="132"/>
      <c r="CM40" s="128"/>
      <c r="CN40" s="129"/>
      <c r="CP40" s="132"/>
      <c r="CQ40" s="128"/>
      <c r="CR40" s="129"/>
      <c r="CT40" s="132"/>
      <c r="CU40" s="128"/>
      <c r="CV40" s="129"/>
      <c r="CX40" s="132"/>
      <c r="CY40" s="128"/>
      <c r="CZ40" s="129"/>
      <c r="DB40" s="132"/>
      <c r="DC40" s="128"/>
      <c r="DD40" s="129"/>
      <c r="DF40" s="132"/>
      <c r="DG40" s="85"/>
      <c r="DH40" s="85"/>
      <c r="DI40" s="84"/>
      <c r="DK40" s="84"/>
      <c r="DP40" s="84"/>
      <c r="DU40" s="84"/>
      <c r="DY40" s="84"/>
      <c r="EC40" s="84"/>
      <c r="EG40" s="84"/>
      <c r="EK40" s="84"/>
    </row>
    <row r="41" customFormat="false" ht="12.75" hidden="false" customHeight="false" outlineLevel="0" collapsed="false">
      <c r="A41" s="37"/>
      <c r="E41" s="83"/>
      <c r="J41" s="84"/>
      <c r="N41" s="84"/>
      <c r="R41" s="84"/>
      <c r="V41" s="84"/>
      <c r="Z41" s="128"/>
      <c r="AA41" s="129"/>
      <c r="AC41" s="130"/>
      <c r="AD41" s="128"/>
      <c r="AE41" s="129"/>
      <c r="AG41" s="130"/>
      <c r="AH41" s="128"/>
      <c r="AI41" s="129"/>
      <c r="AK41" s="130"/>
      <c r="AL41" s="128"/>
      <c r="AM41" s="129"/>
      <c r="AO41" s="130"/>
      <c r="AP41" s="128"/>
      <c r="AQ41" s="129"/>
      <c r="AS41" s="130"/>
      <c r="AT41" s="128"/>
      <c r="AU41" s="129"/>
      <c r="AW41" s="130"/>
      <c r="AX41" s="85"/>
      <c r="AY41" s="84"/>
      <c r="AZ41" s="84"/>
      <c r="BA41" s="131"/>
      <c r="BB41" s="84"/>
      <c r="BE41" s="84"/>
      <c r="BI41" s="86"/>
      <c r="BO41" s="84"/>
      <c r="BT41" s="84"/>
      <c r="BY41" s="84"/>
      <c r="CD41" s="84"/>
      <c r="CI41" s="128"/>
      <c r="CJ41" s="129"/>
      <c r="CL41" s="132"/>
      <c r="CM41" s="128"/>
      <c r="CN41" s="129"/>
      <c r="CP41" s="132"/>
      <c r="CQ41" s="128"/>
      <c r="CR41" s="129"/>
      <c r="CT41" s="132"/>
      <c r="CU41" s="128"/>
      <c r="CV41" s="129"/>
      <c r="CX41" s="132"/>
      <c r="CY41" s="128"/>
      <c r="CZ41" s="129"/>
      <c r="DB41" s="132"/>
      <c r="DC41" s="128"/>
      <c r="DD41" s="129"/>
      <c r="DF41" s="132"/>
      <c r="DG41" s="85"/>
      <c r="DH41" s="85"/>
      <c r="DI41" s="84"/>
      <c r="DK41" s="84"/>
      <c r="DP41" s="84"/>
      <c r="DU41" s="84"/>
      <c r="DY41" s="84"/>
      <c r="EC41" s="84"/>
      <c r="EG41" s="84"/>
      <c r="EK41" s="84"/>
    </row>
    <row r="42" customFormat="false" ht="12.75" hidden="false" customHeight="false" outlineLevel="0" collapsed="false">
      <c r="A42" s="37"/>
      <c r="E42" s="83"/>
      <c r="J42" s="84"/>
      <c r="N42" s="84"/>
      <c r="R42" s="84"/>
      <c r="V42" s="84"/>
      <c r="Z42" s="128"/>
      <c r="AA42" s="129"/>
      <c r="AC42" s="130"/>
      <c r="AD42" s="128"/>
      <c r="AE42" s="129"/>
      <c r="AG42" s="130"/>
      <c r="AH42" s="128"/>
      <c r="AI42" s="129"/>
      <c r="AK42" s="130"/>
      <c r="AL42" s="128"/>
      <c r="AM42" s="129"/>
      <c r="AO42" s="130"/>
      <c r="AP42" s="128"/>
      <c r="AQ42" s="129"/>
      <c r="AS42" s="130"/>
      <c r="AT42" s="128"/>
      <c r="AU42" s="129"/>
      <c r="AW42" s="130"/>
      <c r="AX42" s="85"/>
      <c r="AY42" s="84"/>
      <c r="AZ42" s="84"/>
      <c r="BA42" s="131"/>
      <c r="BB42" s="84"/>
      <c r="BE42" s="84"/>
      <c r="BI42" s="86"/>
      <c r="BO42" s="84"/>
      <c r="BT42" s="84"/>
      <c r="BY42" s="84"/>
      <c r="CD42" s="84"/>
      <c r="CI42" s="128"/>
      <c r="CJ42" s="129"/>
      <c r="CL42" s="132"/>
      <c r="CM42" s="128"/>
      <c r="CN42" s="129"/>
      <c r="CP42" s="132"/>
      <c r="CQ42" s="128"/>
      <c r="CR42" s="129"/>
      <c r="CT42" s="132"/>
      <c r="CU42" s="128"/>
      <c r="CV42" s="129"/>
      <c r="CX42" s="132"/>
      <c r="CY42" s="128"/>
      <c r="CZ42" s="129"/>
      <c r="DB42" s="132"/>
      <c r="DC42" s="128"/>
      <c r="DD42" s="129"/>
      <c r="DF42" s="132"/>
      <c r="DG42" s="85"/>
      <c r="DH42" s="85"/>
      <c r="DI42" s="84"/>
      <c r="DK42" s="84"/>
      <c r="DP42" s="84"/>
      <c r="DU42" s="84"/>
      <c r="DY42" s="84"/>
      <c r="EC42" s="84"/>
      <c r="EG42" s="84"/>
      <c r="EK42" s="84"/>
    </row>
    <row r="43" customFormat="false" ht="12.75" hidden="false" customHeight="false" outlineLevel="0" collapsed="false">
      <c r="A43" s="37"/>
      <c r="E43" s="83"/>
      <c r="J43" s="84"/>
      <c r="N43" s="84"/>
      <c r="R43" s="84"/>
      <c r="V43" s="84"/>
      <c r="Z43" s="128"/>
      <c r="AA43" s="129"/>
      <c r="AC43" s="130"/>
      <c r="AD43" s="128"/>
      <c r="AE43" s="129"/>
      <c r="AG43" s="130"/>
      <c r="AH43" s="128"/>
      <c r="AI43" s="129"/>
      <c r="AK43" s="130"/>
      <c r="AL43" s="128"/>
      <c r="AM43" s="129"/>
      <c r="AO43" s="130"/>
      <c r="AP43" s="128"/>
      <c r="AQ43" s="129"/>
      <c r="AS43" s="130"/>
      <c r="AT43" s="128"/>
      <c r="AU43" s="129"/>
      <c r="AW43" s="130"/>
      <c r="AX43" s="85"/>
      <c r="AY43" s="84"/>
      <c r="AZ43" s="84"/>
      <c r="BA43" s="131"/>
      <c r="BB43" s="84"/>
      <c r="BE43" s="84"/>
      <c r="BI43" s="86"/>
      <c r="BO43" s="84"/>
      <c r="BT43" s="84"/>
      <c r="BY43" s="84"/>
      <c r="CD43" s="84"/>
      <c r="CI43" s="128"/>
      <c r="CJ43" s="129"/>
      <c r="CL43" s="132"/>
      <c r="CM43" s="128"/>
      <c r="CN43" s="129"/>
      <c r="CP43" s="132"/>
      <c r="CQ43" s="128"/>
      <c r="CR43" s="129"/>
      <c r="CT43" s="132"/>
      <c r="CU43" s="128"/>
      <c r="CV43" s="129"/>
      <c r="CX43" s="132"/>
      <c r="CY43" s="128"/>
      <c r="CZ43" s="129"/>
      <c r="DB43" s="132"/>
      <c r="DC43" s="128"/>
      <c r="DD43" s="129"/>
      <c r="DF43" s="132"/>
      <c r="DG43" s="85"/>
      <c r="DH43" s="85"/>
      <c r="DI43" s="84"/>
      <c r="DK43" s="84"/>
      <c r="DP43" s="84"/>
      <c r="DU43" s="84"/>
      <c r="DY43" s="84"/>
      <c r="EC43" s="84"/>
      <c r="EG43" s="84"/>
      <c r="EK43" s="84"/>
    </row>
    <row r="44" customFormat="false" ht="12.75" hidden="false" customHeight="false" outlineLevel="0" collapsed="false">
      <c r="A44" s="37"/>
      <c r="E44" s="83"/>
      <c r="J44" s="84"/>
      <c r="N44" s="84"/>
      <c r="R44" s="84"/>
      <c r="V44" s="84"/>
      <c r="Z44" s="128"/>
      <c r="AA44" s="129"/>
      <c r="AC44" s="130"/>
      <c r="AD44" s="128"/>
      <c r="AE44" s="129"/>
      <c r="AG44" s="130"/>
      <c r="AH44" s="128"/>
      <c r="AI44" s="129"/>
      <c r="AK44" s="130"/>
      <c r="AL44" s="128"/>
      <c r="AM44" s="129"/>
      <c r="AO44" s="130"/>
      <c r="AP44" s="128"/>
      <c r="AQ44" s="129"/>
      <c r="AS44" s="130"/>
      <c r="AT44" s="128"/>
      <c r="AU44" s="129"/>
      <c r="AW44" s="130"/>
      <c r="AX44" s="85"/>
      <c r="AY44" s="84"/>
      <c r="AZ44" s="84"/>
      <c r="BA44" s="131"/>
      <c r="BB44" s="84"/>
      <c r="BE44" s="84"/>
      <c r="BI44" s="86"/>
      <c r="BO44" s="84"/>
      <c r="BT44" s="84"/>
      <c r="BY44" s="84"/>
      <c r="CD44" s="84"/>
      <c r="CI44" s="128"/>
      <c r="CJ44" s="129"/>
      <c r="CL44" s="132"/>
      <c r="CM44" s="128"/>
      <c r="CN44" s="129"/>
      <c r="CP44" s="132"/>
      <c r="CQ44" s="128"/>
      <c r="CR44" s="129"/>
      <c r="CT44" s="132"/>
      <c r="CU44" s="128"/>
      <c r="CV44" s="129"/>
      <c r="CX44" s="132"/>
      <c r="CY44" s="128"/>
      <c r="CZ44" s="129"/>
      <c r="DB44" s="132"/>
      <c r="DC44" s="128"/>
      <c r="DD44" s="129"/>
      <c r="DF44" s="132"/>
      <c r="DG44" s="85"/>
      <c r="DH44" s="85"/>
      <c r="DI44" s="84"/>
      <c r="DK44" s="84"/>
      <c r="DP44" s="84"/>
      <c r="DU44" s="84"/>
      <c r="DY44" s="84"/>
      <c r="EC44" s="84"/>
      <c r="EG44" s="84"/>
      <c r="EK44" s="84"/>
    </row>
    <row r="45" customFormat="false" ht="12.75" hidden="false" customHeight="false" outlineLevel="0" collapsed="false">
      <c r="A45" s="37"/>
      <c r="E45" s="83"/>
      <c r="J45" s="84"/>
      <c r="N45" s="84"/>
      <c r="R45" s="84"/>
      <c r="V45" s="84"/>
      <c r="Z45" s="128"/>
      <c r="AA45" s="129"/>
      <c r="AC45" s="130"/>
      <c r="AD45" s="128"/>
      <c r="AE45" s="129"/>
      <c r="AG45" s="130"/>
      <c r="AH45" s="128"/>
      <c r="AI45" s="129"/>
      <c r="AK45" s="130"/>
      <c r="AL45" s="128"/>
      <c r="AM45" s="129"/>
      <c r="AO45" s="130"/>
      <c r="AP45" s="128"/>
      <c r="AQ45" s="129"/>
      <c r="AS45" s="130"/>
      <c r="AT45" s="128"/>
      <c r="AU45" s="129"/>
      <c r="AW45" s="130"/>
      <c r="AX45" s="85"/>
      <c r="AY45" s="84"/>
      <c r="AZ45" s="84"/>
      <c r="BA45" s="131"/>
      <c r="BB45" s="84"/>
      <c r="BE45" s="84"/>
      <c r="BI45" s="86"/>
      <c r="BO45" s="84"/>
      <c r="BT45" s="84"/>
      <c r="BY45" s="84"/>
      <c r="CD45" s="84"/>
      <c r="CI45" s="128"/>
      <c r="CJ45" s="129"/>
      <c r="CL45" s="132"/>
      <c r="CM45" s="128"/>
      <c r="CN45" s="129"/>
      <c r="CP45" s="132"/>
      <c r="CQ45" s="128"/>
      <c r="CR45" s="129"/>
      <c r="CT45" s="132"/>
      <c r="CU45" s="128"/>
      <c r="CV45" s="129"/>
      <c r="CX45" s="132"/>
      <c r="CY45" s="128"/>
      <c r="CZ45" s="129"/>
      <c r="DB45" s="132"/>
      <c r="DC45" s="128"/>
      <c r="DD45" s="129"/>
      <c r="DF45" s="132"/>
      <c r="DG45" s="85"/>
      <c r="DH45" s="85"/>
      <c r="DI45" s="84"/>
      <c r="DK45" s="84"/>
      <c r="DP45" s="84"/>
      <c r="DU45" s="84"/>
      <c r="DY45" s="84"/>
      <c r="EC45" s="84"/>
      <c r="EG45" s="84"/>
      <c r="EK45" s="84"/>
    </row>
    <row r="46" customFormat="false" ht="12.75" hidden="false" customHeight="false" outlineLevel="0" collapsed="false">
      <c r="A46" s="37"/>
      <c r="E46" s="83"/>
      <c r="J46" s="84"/>
      <c r="N46" s="84"/>
      <c r="R46" s="84"/>
      <c r="V46" s="84"/>
      <c r="Z46" s="128"/>
      <c r="AA46" s="129"/>
      <c r="AC46" s="130"/>
      <c r="AD46" s="128"/>
      <c r="AE46" s="129"/>
      <c r="AG46" s="130"/>
      <c r="AH46" s="128"/>
      <c r="AI46" s="129"/>
      <c r="AK46" s="130"/>
      <c r="AL46" s="128"/>
      <c r="AM46" s="129"/>
      <c r="AO46" s="130"/>
      <c r="AP46" s="128"/>
      <c r="AQ46" s="129"/>
      <c r="AS46" s="130"/>
      <c r="AT46" s="128"/>
      <c r="AU46" s="129"/>
      <c r="AW46" s="130"/>
      <c r="AX46" s="85"/>
      <c r="AY46" s="84"/>
      <c r="AZ46" s="84"/>
      <c r="BA46" s="131"/>
      <c r="BB46" s="84"/>
      <c r="BE46" s="84"/>
      <c r="BI46" s="86"/>
      <c r="BO46" s="84"/>
      <c r="BT46" s="84"/>
      <c r="BY46" s="84"/>
      <c r="CD46" s="84"/>
      <c r="CI46" s="128"/>
      <c r="CJ46" s="129"/>
      <c r="CL46" s="132"/>
      <c r="CM46" s="128"/>
      <c r="CN46" s="129"/>
      <c r="CP46" s="132"/>
      <c r="CQ46" s="128"/>
      <c r="CR46" s="129"/>
      <c r="CT46" s="132"/>
      <c r="CU46" s="128"/>
      <c r="CV46" s="129"/>
      <c r="CX46" s="132"/>
      <c r="CY46" s="128"/>
      <c r="CZ46" s="129"/>
      <c r="DB46" s="132"/>
      <c r="DC46" s="128"/>
      <c r="DD46" s="129"/>
      <c r="DF46" s="132"/>
      <c r="DG46" s="85"/>
      <c r="DH46" s="85"/>
      <c r="DI46" s="84"/>
      <c r="DK46" s="84"/>
      <c r="DP46" s="84"/>
      <c r="DU46" s="84"/>
      <c r="DY46" s="84"/>
      <c r="EC46" s="84"/>
      <c r="EG46" s="84"/>
      <c r="EK46" s="84"/>
    </row>
    <row r="47" customFormat="false" ht="12.75" hidden="false" customHeight="false" outlineLevel="0" collapsed="false">
      <c r="A47" s="37"/>
      <c r="E47" s="83"/>
      <c r="J47" s="84"/>
      <c r="N47" s="84"/>
      <c r="R47" s="84"/>
      <c r="V47" s="84"/>
      <c r="Z47" s="128"/>
      <c r="AA47" s="129"/>
      <c r="AC47" s="130"/>
      <c r="AD47" s="128"/>
      <c r="AE47" s="129"/>
      <c r="AG47" s="130"/>
      <c r="AH47" s="128"/>
      <c r="AI47" s="129"/>
      <c r="AK47" s="130"/>
      <c r="AL47" s="128"/>
      <c r="AM47" s="129"/>
      <c r="AO47" s="130"/>
      <c r="AP47" s="128"/>
      <c r="AQ47" s="129"/>
      <c r="AS47" s="130"/>
      <c r="AT47" s="128"/>
      <c r="AU47" s="129"/>
      <c r="AW47" s="130"/>
      <c r="AX47" s="85"/>
      <c r="AY47" s="84"/>
      <c r="AZ47" s="84"/>
      <c r="BA47" s="131"/>
      <c r="BB47" s="84"/>
      <c r="BE47" s="84"/>
      <c r="BI47" s="86"/>
      <c r="BO47" s="84"/>
      <c r="BT47" s="84"/>
      <c r="BY47" s="84"/>
      <c r="CD47" s="84"/>
      <c r="CI47" s="128"/>
      <c r="CJ47" s="129"/>
      <c r="CL47" s="132"/>
      <c r="CM47" s="128"/>
      <c r="CN47" s="129"/>
      <c r="CP47" s="132"/>
      <c r="CQ47" s="128"/>
      <c r="CR47" s="129"/>
      <c r="CT47" s="132"/>
      <c r="CU47" s="128"/>
      <c r="CV47" s="129"/>
      <c r="CX47" s="132"/>
      <c r="CY47" s="128"/>
      <c r="CZ47" s="129"/>
      <c r="DB47" s="132"/>
      <c r="DC47" s="128"/>
      <c r="DD47" s="129"/>
      <c r="DF47" s="132"/>
      <c r="DG47" s="85"/>
      <c r="DH47" s="85"/>
      <c r="DI47" s="84"/>
      <c r="DK47" s="84"/>
      <c r="DP47" s="84"/>
      <c r="DU47" s="84"/>
      <c r="DY47" s="84"/>
      <c r="EC47" s="84"/>
      <c r="EG47" s="84"/>
      <c r="EK47" s="84"/>
    </row>
    <row r="48" customFormat="false" ht="12.75" hidden="false" customHeight="false" outlineLevel="0" collapsed="false">
      <c r="A48" s="37"/>
      <c r="E48" s="83"/>
      <c r="J48" s="84"/>
      <c r="N48" s="84"/>
      <c r="R48" s="84"/>
      <c r="V48" s="84"/>
      <c r="Z48" s="128"/>
      <c r="AA48" s="129"/>
      <c r="AC48" s="130"/>
      <c r="AD48" s="128"/>
      <c r="AE48" s="129"/>
      <c r="AG48" s="130"/>
      <c r="AH48" s="128"/>
      <c r="AI48" s="129"/>
      <c r="AK48" s="130"/>
      <c r="AL48" s="128"/>
      <c r="AM48" s="129"/>
      <c r="AO48" s="130"/>
      <c r="AP48" s="128"/>
      <c r="AQ48" s="129"/>
      <c r="AS48" s="130"/>
      <c r="AT48" s="128"/>
      <c r="AU48" s="129"/>
      <c r="AW48" s="130"/>
      <c r="AX48" s="85"/>
      <c r="AY48" s="84"/>
      <c r="AZ48" s="84"/>
      <c r="BA48" s="131"/>
      <c r="BB48" s="84"/>
      <c r="BE48" s="84"/>
      <c r="BI48" s="86"/>
      <c r="BO48" s="84"/>
      <c r="BT48" s="84"/>
      <c r="BY48" s="84"/>
      <c r="CD48" s="84"/>
      <c r="CI48" s="128"/>
      <c r="CJ48" s="129"/>
      <c r="CL48" s="132"/>
      <c r="CM48" s="128"/>
      <c r="CN48" s="129"/>
      <c r="CP48" s="132"/>
      <c r="CQ48" s="128"/>
      <c r="CR48" s="129"/>
      <c r="CT48" s="132"/>
      <c r="CU48" s="128"/>
      <c r="CV48" s="129"/>
      <c r="CX48" s="132"/>
      <c r="CY48" s="128"/>
      <c r="CZ48" s="129"/>
      <c r="DB48" s="132"/>
      <c r="DC48" s="128"/>
      <c r="DD48" s="129"/>
      <c r="DF48" s="132"/>
      <c r="DG48" s="85"/>
      <c r="DH48" s="85"/>
      <c r="DI48" s="84"/>
      <c r="DK48" s="84"/>
      <c r="DP48" s="84"/>
      <c r="DU48" s="84"/>
      <c r="DY48" s="84"/>
      <c r="EC48" s="84"/>
      <c r="EG48" s="84"/>
      <c r="EK48" s="84"/>
    </row>
    <row r="49" customFormat="false" ht="12.75" hidden="false" customHeight="false" outlineLevel="0" collapsed="false">
      <c r="A49" s="37"/>
      <c r="E49" s="83"/>
      <c r="J49" s="84"/>
      <c r="N49" s="84"/>
      <c r="R49" s="84"/>
      <c r="V49" s="84"/>
      <c r="Z49" s="128"/>
      <c r="AA49" s="129"/>
      <c r="AC49" s="130"/>
      <c r="AD49" s="128"/>
      <c r="AE49" s="129"/>
      <c r="AG49" s="130"/>
      <c r="AH49" s="128"/>
      <c r="AI49" s="129"/>
      <c r="AK49" s="130"/>
      <c r="AL49" s="128"/>
      <c r="AM49" s="129"/>
      <c r="AO49" s="130"/>
      <c r="AP49" s="128"/>
      <c r="AQ49" s="129"/>
      <c r="AS49" s="130"/>
      <c r="AT49" s="128"/>
      <c r="AU49" s="129"/>
      <c r="AW49" s="130"/>
      <c r="AX49" s="85"/>
      <c r="AY49" s="84"/>
      <c r="AZ49" s="84"/>
      <c r="BA49" s="131"/>
      <c r="BB49" s="84"/>
      <c r="BE49" s="84"/>
      <c r="BI49" s="86"/>
      <c r="BO49" s="84"/>
      <c r="BT49" s="84"/>
      <c r="BY49" s="84"/>
      <c r="CD49" s="84"/>
      <c r="CI49" s="128"/>
      <c r="CJ49" s="129"/>
      <c r="CL49" s="132"/>
      <c r="CM49" s="128"/>
      <c r="CN49" s="129"/>
      <c r="CP49" s="132"/>
      <c r="CQ49" s="128"/>
      <c r="CR49" s="129"/>
      <c r="CT49" s="132"/>
      <c r="CU49" s="128"/>
      <c r="CV49" s="129"/>
      <c r="CX49" s="132"/>
      <c r="CY49" s="128"/>
      <c r="CZ49" s="129"/>
      <c r="DB49" s="132"/>
      <c r="DC49" s="128"/>
      <c r="DD49" s="129"/>
      <c r="DF49" s="132"/>
      <c r="DG49" s="85"/>
      <c r="DH49" s="85"/>
      <c r="DI49" s="84"/>
      <c r="DK49" s="84"/>
      <c r="DP49" s="84"/>
      <c r="DU49" s="84"/>
      <c r="DY49" s="84"/>
      <c r="EC49" s="84"/>
      <c r="EG49" s="84"/>
      <c r="EK49" s="84"/>
    </row>
    <row r="50" customFormat="false" ht="12.75" hidden="false" customHeight="false" outlineLevel="0" collapsed="false">
      <c r="A50" s="37"/>
      <c r="E50" s="83"/>
      <c r="J50" s="84"/>
      <c r="N50" s="84"/>
      <c r="R50" s="84"/>
      <c r="V50" s="84"/>
      <c r="Z50" s="128"/>
      <c r="AA50" s="129"/>
      <c r="AC50" s="130"/>
      <c r="AD50" s="128"/>
      <c r="AE50" s="129"/>
      <c r="AG50" s="130"/>
      <c r="AH50" s="128"/>
      <c r="AI50" s="129"/>
      <c r="AK50" s="130"/>
      <c r="AL50" s="128"/>
      <c r="AM50" s="129"/>
      <c r="AO50" s="130"/>
      <c r="AP50" s="128"/>
      <c r="AQ50" s="129"/>
      <c r="AS50" s="130"/>
      <c r="AT50" s="128"/>
      <c r="AU50" s="129"/>
      <c r="AW50" s="130"/>
      <c r="AX50" s="85"/>
      <c r="AY50" s="84"/>
      <c r="AZ50" s="84"/>
      <c r="BA50" s="131"/>
      <c r="BB50" s="84"/>
      <c r="BE50" s="84"/>
      <c r="BI50" s="86"/>
      <c r="BO50" s="84"/>
      <c r="BT50" s="84"/>
      <c r="BY50" s="84"/>
      <c r="CD50" s="84"/>
      <c r="CI50" s="128"/>
      <c r="CJ50" s="129"/>
      <c r="CL50" s="132"/>
      <c r="CM50" s="128"/>
      <c r="CN50" s="129"/>
      <c r="CP50" s="132"/>
      <c r="CQ50" s="128"/>
      <c r="CR50" s="129"/>
      <c r="CT50" s="132"/>
      <c r="CU50" s="128"/>
      <c r="CV50" s="129"/>
      <c r="CX50" s="132"/>
      <c r="CY50" s="128"/>
      <c r="CZ50" s="129"/>
      <c r="DB50" s="132"/>
      <c r="DC50" s="128"/>
      <c r="DD50" s="129"/>
      <c r="DF50" s="132"/>
      <c r="DG50" s="85"/>
      <c r="DH50" s="85"/>
      <c r="DI50" s="84"/>
      <c r="DK50" s="84"/>
      <c r="DP50" s="84"/>
      <c r="DU50" s="84"/>
      <c r="DY50" s="84"/>
      <c r="EC50" s="84"/>
      <c r="EG50" s="84"/>
      <c r="EK50" s="84"/>
    </row>
    <row r="51" customFormat="false" ht="12.75" hidden="false" customHeight="false" outlineLevel="0" collapsed="false">
      <c r="A51" s="37"/>
      <c r="E51" s="83"/>
      <c r="J51" s="84"/>
      <c r="N51" s="84"/>
      <c r="R51" s="84"/>
      <c r="V51" s="84"/>
      <c r="Z51" s="128"/>
      <c r="AA51" s="129"/>
      <c r="AC51" s="130"/>
      <c r="AD51" s="128"/>
      <c r="AE51" s="129"/>
      <c r="AG51" s="130"/>
      <c r="AH51" s="128"/>
      <c r="AI51" s="129"/>
      <c r="AK51" s="130"/>
      <c r="AL51" s="128"/>
      <c r="AM51" s="129"/>
      <c r="AO51" s="130"/>
      <c r="AP51" s="128"/>
      <c r="AQ51" s="129"/>
      <c r="AS51" s="130"/>
      <c r="AT51" s="128"/>
      <c r="AU51" s="129"/>
      <c r="AW51" s="130"/>
      <c r="AX51" s="85"/>
      <c r="AY51" s="84"/>
      <c r="AZ51" s="84"/>
      <c r="BA51" s="131"/>
      <c r="BB51" s="84"/>
      <c r="BE51" s="84"/>
      <c r="BI51" s="86"/>
      <c r="BO51" s="84"/>
      <c r="BT51" s="84"/>
      <c r="BY51" s="84"/>
      <c r="CD51" s="84"/>
      <c r="CI51" s="128"/>
      <c r="CJ51" s="129"/>
      <c r="CL51" s="132"/>
      <c r="CM51" s="128"/>
      <c r="CN51" s="129"/>
      <c r="CP51" s="132"/>
      <c r="CQ51" s="128"/>
      <c r="CR51" s="129"/>
      <c r="CT51" s="132"/>
      <c r="CU51" s="128"/>
      <c r="CV51" s="129"/>
      <c r="CX51" s="132"/>
      <c r="CY51" s="128"/>
      <c r="CZ51" s="129"/>
      <c r="DB51" s="132"/>
      <c r="DC51" s="128"/>
      <c r="DD51" s="129"/>
      <c r="DF51" s="132"/>
      <c r="DG51" s="85"/>
      <c r="DH51" s="85"/>
      <c r="DI51" s="84"/>
      <c r="DK51" s="84"/>
      <c r="DP51" s="84"/>
      <c r="DU51" s="84"/>
      <c r="DY51" s="84"/>
      <c r="EC51" s="84"/>
      <c r="EG51" s="84"/>
      <c r="EK51" s="84"/>
    </row>
    <row r="52" customFormat="false" ht="12.75" hidden="false" customHeight="false" outlineLevel="0" collapsed="false">
      <c r="A52" s="37"/>
      <c r="E52" s="83"/>
      <c r="J52" s="84"/>
      <c r="N52" s="84"/>
      <c r="R52" s="84"/>
      <c r="V52" s="84"/>
      <c r="Z52" s="128"/>
      <c r="AA52" s="129"/>
      <c r="AC52" s="130"/>
      <c r="AD52" s="128"/>
      <c r="AE52" s="129"/>
      <c r="AG52" s="130"/>
      <c r="AH52" s="128"/>
      <c r="AI52" s="129"/>
      <c r="AK52" s="130"/>
      <c r="AL52" s="128"/>
      <c r="AM52" s="129"/>
      <c r="AO52" s="130"/>
      <c r="AP52" s="128"/>
      <c r="AQ52" s="129"/>
      <c r="AS52" s="130"/>
      <c r="AT52" s="128"/>
      <c r="AU52" s="129"/>
      <c r="AW52" s="130"/>
      <c r="AX52" s="85"/>
      <c r="AY52" s="84"/>
      <c r="AZ52" s="84"/>
      <c r="BA52" s="131"/>
      <c r="BB52" s="84"/>
      <c r="BE52" s="84"/>
      <c r="BI52" s="86"/>
      <c r="BO52" s="84"/>
      <c r="BT52" s="84"/>
      <c r="BY52" s="84"/>
      <c r="CD52" s="84"/>
      <c r="CI52" s="128"/>
      <c r="CJ52" s="129"/>
      <c r="CL52" s="132"/>
      <c r="CM52" s="128"/>
      <c r="CN52" s="129"/>
      <c r="CP52" s="132"/>
      <c r="CQ52" s="128"/>
      <c r="CR52" s="129"/>
      <c r="CT52" s="132"/>
      <c r="CU52" s="128"/>
      <c r="CV52" s="129"/>
      <c r="CX52" s="132"/>
      <c r="CY52" s="128"/>
      <c r="CZ52" s="129"/>
      <c r="DB52" s="132"/>
      <c r="DC52" s="128"/>
      <c r="DD52" s="129"/>
      <c r="DF52" s="132"/>
      <c r="DG52" s="85"/>
      <c r="DH52" s="85"/>
      <c r="DI52" s="84"/>
      <c r="DK52" s="84"/>
      <c r="DP52" s="84"/>
      <c r="DU52" s="84"/>
      <c r="DY52" s="84"/>
      <c r="EC52" s="84"/>
      <c r="EG52" s="84"/>
      <c r="EK52" s="84"/>
    </row>
    <row r="53" customFormat="false" ht="12.75" hidden="false" customHeight="false" outlineLevel="0" collapsed="false">
      <c r="A53" s="37"/>
      <c r="E53" s="83"/>
      <c r="J53" s="84"/>
      <c r="N53" s="84"/>
      <c r="R53" s="84"/>
      <c r="V53" s="84"/>
      <c r="Z53" s="128"/>
      <c r="AA53" s="129"/>
      <c r="AC53" s="130"/>
      <c r="AD53" s="128"/>
      <c r="AE53" s="129"/>
      <c r="AG53" s="130"/>
      <c r="AH53" s="128"/>
      <c r="AI53" s="129"/>
      <c r="AK53" s="130"/>
      <c r="AL53" s="128"/>
      <c r="AM53" s="129"/>
      <c r="AO53" s="130"/>
      <c r="AP53" s="128"/>
      <c r="AQ53" s="129"/>
      <c r="AS53" s="130"/>
      <c r="AT53" s="128"/>
      <c r="AU53" s="129"/>
      <c r="AW53" s="130"/>
      <c r="AX53" s="85"/>
      <c r="AY53" s="84"/>
      <c r="AZ53" s="84"/>
      <c r="BA53" s="131"/>
      <c r="BB53" s="84"/>
      <c r="BE53" s="84"/>
      <c r="BI53" s="86"/>
      <c r="BO53" s="84"/>
      <c r="BT53" s="84"/>
      <c r="BY53" s="84"/>
      <c r="CD53" s="84"/>
      <c r="CI53" s="128"/>
      <c r="CJ53" s="129"/>
      <c r="CL53" s="132"/>
      <c r="CM53" s="128"/>
      <c r="CN53" s="129"/>
      <c r="CP53" s="132"/>
      <c r="CQ53" s="128"/>
      <c r="CR53" s="129"/>
      <c r="CT53" s="132"/>
      <c r="CU53" s="128"/>
      <c r="CV53" s="129"/>
      <c r="CX53" s="132"/>
      <c r="CY53" s="128"/>
      <c r="CZ53" s="129"/>
      <c r="DB53" s="132"/>
      <c r="DC53" s="128"/>
      <c r="DD53" s="129"/>
      <c r="DF53" s="132"/>
      <c r="DG53" s="85"/>
      <c r="DH53" s="85"/>
      <c r="DI53" s="84"/>
      <c r="DK53" s="84"/>
      <c r="DP53" s="84"/>
      <c r="DU53" s="84"/>
      <c r="DY53" s="84"/>
      <c r="EC53" s="84"/>
      <c r="EG53" s="84"/>
      <c r="EK53" s="84"/>
    </row>
    <row r="54" customFormat="false" ht="12.75" hidden="false" customHeight="false" outlineLevel="0" collapsed="false">
      <c r="A54" s="37"/>
      <c r="E54" s="83"/>
      <c r="J54" s="84"/>
      <c r="N54" s="84"/>
      <c r="R54" s="84"/>
      <c r="V54" s="84"/>
      <c r="Z54" s="128"/>
      <c r="AA54" s="129"/>
      <c r="AC54" s="130"/>
      <c r="AD54" s="128"/>
      <c r="AE54" s="129"/>
      <c r="AG54" s="130"/>
      <c r="AH54" s="128"/>
      <c r="AI54" s="129"/>
      <c r="AK54" s="130"/>
      <c r="AL54" s="128"/>
      <c r="AM54" s="129"/>
      <c r="AO54" s="130"/>
      <c r="AP54" s="128"/>
      <c r="AQ54" s="129"/>
      <c r="AS54" s="130"/>
      <c r="AT54" s="128"/>
      <c r="AU54" s="129"/>
      <c r="AW54" s="130"/>
      <c r="AX54" s="85"/>
      <c r="AY54" s="84"/>
      <c r="AZ54" s="84"/>
      <c r="BA54" s="131"/>
      <c r="BB54" s="84"/>
      <c r="BE54" s="84"/>
      <c r="BI54" s="86"/>
      <c r="BO54" s="84"/>
      <c r="BT54" s="84"/>
      <c r="BY54" s="84"/>
      <c r="CD54" s="84"/>
      <c r="CI54" s="128"/>
      <c r="CJ54" s="129"/>
      <c r="CL54" s="132"/>
      <c r="CM54" s="128"/>
      <c r="CN54" s="129"/>
      <c r="CP54" s="132"/>
      <c r="CQ54" s="128"/>
      <c r="CR54" s="129"/>
      <c r="CT54" s="132"/>
      <c r="CU54" s="128"/>
      <c r="CV54" s="129"/>
      <c r="CX54" s="132"/>
      <c r="CY54" s="128"/>
      <c r="CZ54" s="129"/>
      <c r="DB54" s="132"/>
      <c r="DC54" s="128"/>
      <c r="DD54" s="129"/>
      <c r="DF54" s="132"/>
      <c r="DG54" s="85"/>
      <c r="DH54" s="85"/>
      <c r="DI54" s="84"/>
      <c r="DK54" s="84"/>
      <c r="DP54" s="84"/>
      <c r="DU54" s="84"/>
      <c r="DY54" s="84"/>
      <c r="EC54" s="84"/>
      <c r="EG54" s="84"/>
      <c r="EK54" s="84"/>
    </row>
    <row r="55" customFormat="false" ht="12.75" hidden="false" customHeight="false" outlineLevel="0" collapsed="false">
      <c r="A55" s="37"/>
      <c r="E55" s="83"/>
      <c r="J55" s="84"/>
      <c r="N55" s="84"/>
      <c r="R55" s="84"/>
      <c r="V55" s="84"/>
      <c r="Z55" s="128"/>
      <c r="AA55" s="129"/>
      <c r="AC55" s="130"/>
      <c r="AD55" s="128"/>
      <c r="AE55" s="129"/>
      <c r="AG55" s="130"/>
      <c r="AH55" s="128"/>
      <c r="AI55" s="129"/>
      <c r="AK55" s="130"/>
      <c r="AL55" s="128"/>
      <c r="AM55" s="129"/>
      <c r="AO55" s="130"/>
      <c r="AP55" s="128"/>
      <c r="AQ55" s="129"/>
      <c r="AS55" s="130"/>
      <c r="AT55" s="128"/>
      <c r="AU55" s="129"/>
      <c r="AW55" s="130"/>
      <c r="AX55" s="85"/>
      <c r="AY55" s="84"/>
      <c r="AZ55" s="84"/>
      <c r="BA55" s="131"/>
      <c r="BB55" s="84"/>
      <c r="BE55" s="84"/>
      <c r="BI55" s="86"/>
      <c r="BO55" s="84"/>
      <c r="BT55" s="84"/>
      <c r="BY55" s="84"/>
      <c r="CD55" s="84"/>
      <c r="CI55" s="128"/>
      <c r="CJ55" s="129"/>
      <c r="CL55" s="132"/>
      <c r="CM55" s="128"/>
      <c r="CN55" s="129"/>
      <c r="CP55" s="132"/>
      <c r="CQ55" s="128"/>
      <c r="CR55" s="129"/>
      <c r="CT55" s="132"/>
      <c r="CU55" s="128"/>
      <c r="CV55" s="129"/>
      <c r="CX55" s="132"/>
      <c r="CY55" s="128"/>
      <c r="CZ55" s="129"/>
      <c r="DB55" s="132"/>
      <c r="DC55" s="128"/>
      <c r="DD55" s="129"/>
      <c r="DF55" s="132"/>
      <c r="DG55" s="85"/>
      <c r="DH55" s="85"/>
      <c r="DI55" s="84"/>
      <c r="DK55" s="84"/>
      <c r="DP55" s="84"/>
      <c r="DU55" s="84"/>
      <c r="DY55" s="84"/>
      <c r="EC55" s="84"/>
      <c r="EG55" s="84"/>
      <c r="EK55" s="84"/>
    </row>
    <row r="56" customFormat="false" ht="12.75" hidden="false" customHeight="false" outlineLevel="0" collapsed="false">
      <c r="A56" s="37"/>
      <c r="E56" s="83"/>
      <c r="J56" s="84"/>
      <c r="N56" s="84"/>
      <c r="R56" s="84"/>
      <c r="V56" s="84"/>
      <c r="Z56" s="128"/>
      <c r="AA56" s="129"/>
      <c r="AC56" s="130"/>
      <c r="AD56" s="128"/>
      <c r="AE56" s="129"/>
      <c r="AG56" s="130"/>
      <c r="AH56" s="128"/>
      <c r="AI56" s="129"/>
      <c r="AK56" s="130"/>
      <c r="AL56" s="128"/>
      <c r="AM56" s="129"/>
      <c r="AO56" s="130"/>
      <c r="AP56" s="128"/>
      <c r="AQ56" s="129"/>
      <c r="AS56" s="130"/>
      <c r="AT56" s="128"/>
      <c r="AU56" s="129"/>
      <c r="AW56" s="130"/>
      <c r="AX56" s="85"/>
      <c r="AY56" s="84"/>
      <c r="AZ56" s="84"/>
      <c r="BA56" s="131"/>
      <c r="BB56" s="84"/>
      <c r="BE56" s="84"/>
      <c r="BI56" s="86"/>
      <c r="BO56" s="84"/>
      <c r="BT56" s="84"/>
      <c r="BY56" s="84"/>
      <c r="CD56" s="84"/>
      <c r="CI56" s="128"/>
      <c r="CJ56" s="129"/>
      <c r="CL56" s="132"/>
      <c r="CM56" s="128"/>
      <c r="CN56" s="129"/>
      <c r="CP56" s="132"/>
      <c r="CQ56" s="128"/>
      <c r="CR56" s="129"/>
      <c r="CT56" s="132"/>
      <c r="CU56" s="128"/>
      <c r="CV56" s="129"/>
      <c r="CX56" s="132"/>
      <c r="CY56" s="128"/>
      <c r="CZ56" s="129"/>
      <c r="DB56" s="132"/>
      <c r="DC56" s="128"/>
      <c r="DD56" s="129"/>
      <c r="DF56" s="132"/>
      <c r="DG56" s="85"/>
      <c r="DH56" s="85"/>
      <c r="DI56" s="84"/>
      <c r="DK56" s="84"/>
      <c r="DP56" s="84"/>
      <c r="DU56" s="84"/>
      <c r="DY56" s="84"/>
      <c r="EC56" s="84"/>
      <c r="EG56" s="84"/>
      <c r="EK56" s="84"/>
    </row>
    <row r="57" customFormat="false" ht="12.75" hidden="false" customHeight="false" outlineLevel="0" collapsed="false">
      <c r="A57" s="37"/>
      <c r="E57" s="83"/>
      <c r="J57" s="84"/>
      <c r="N57" s="84"/>
      <c r="R57" s="84"/>
      <c r="V57" s="84"/>
      <c r="Z57" s="128"/>
      <c r="AA57" s="129"/>
      <c r="AC57" s="130"/>
      <c r="AD57" s="128"/>
      <c r="AE57" s="129"/>
      <c r="AG57" s="130"/>
      <c r="AH57" s="128"/>
      <c r="AI57" s="129"/>
      <c r="AK57" s="130"/>
      <c r="AL57" s="128"/>
      <c r="AM57" s="129"/>
      <c r="AO57" s="130"/>
      <c r="AP57" s="128"/>
      <c r="AQ57" s="129"/>
      <c r="AS57" s="130"/>
      <c r="AT57" s="128"/>
      <c r="AU57" s="129"/>
      <c r="AW57" s="130"/>
      <c r="AX57" s="85"/>
      <c r="AY57" s="84"/>
      <c r="AZ57" s="84"/>
      <c r="BA57" s="131"/>
      <c r="BB57" s="84"/>
      <c r="BE57" s="84"/>
      <c r="BI57" s="86"/>
      <c r="BO57" s="84"/>
      <c r="BT57" s="84"/>
      <c r="BY57" s="84"/>
      <c r="CD57" s="84"/>
      <c r="CI57" s="128"/>
      <c r="CJ57" s="129"/>
      <c r="CL57" s="132"/>
      <c r="CM57" s="128"/>
      <c r="CN57" s="129"/>
      <c r="CP57" s="132"/>
      <c r="CQ57" s="128"/>
      <c r="CR57" s="129"/>
      <c r="CT57" s="132"/>
      <c r="CU57" s="128"/>
      <c r="CV57" s="129"/>
      <c r="CX57" s="132"/>
      <c r="CY57" s="128"/>
      <c r="CZ57" s="129"/>
      <c r="DB57" s="132"/>
      <c r="DC57" s="128"/>
      <c r="DD57" s="129"/>
      <c r="DF57" s="132"/>
      <c r="DG57" s="85"/>
      <c r="DH57" s="85"/>
      <c r="DI57" s="84"/>
      <c r="DK57" s="84"/>
      <c r="DP57" s="84"/>
      <c r="DU57" s="84"/>
      <c r="DY57" s="84"/>
      <c r="EC57" s="84"/>
      <c r="EG57" s="84"/>
      <c r="EK57" s="84"/>
    </row>
    <row r="58" customFormat="false" ht="12.75" hidden="false" customHeight="false" outlineLevel="0" collapsed="false">
      <c r="A58" s="37"/>
      <c r="E58" s="83"/>
      <c r="J58" s="84"/>
      <c r="N58" s="84"/>
      <c r="R58" s="84"/>
      <c r="V58" s="84"/>
      <c r="Z58" s="128"/>
      <c r="AA58" s="129"/>
      <c r="AC58" s="130"/>
      <c r="AD58" s="128"/>
      <c r="AE58" s="129"/>
      <c r="AG58" s="130"/>
      <c r="AH58" s="128"/>
      <c r="AI58" s="129"/>
      <c r="AK58" s="130"/>
      <c r="AL58" s="128"/>
      <c r="AM58" s="129"/>
      <c r="AO58" s="130"/>
      <c r="AP58" s="128"/>
      <c r="AQ58" s="129"/>
      <c r="AS58" s="130"/>
      <c r="AT58" s="128"/>
      <c r="AU58" s="129"/>
      <c r="AW58" s="130"/>
      <c r="AX58" s="85"/>
      <c r="AY58" s="84"/>
      <c r="AZ58" s="84"/>
      <c r="BA58" s="131"/>
      <c r="BB58" s="84"/>
      <c r="BE58" s="84"/>
      <c r="BI58" s="86"/>
      <c r="BO58" s="84"/>
      <c r="BT58" s="84"/>
      <c r="BY58" s="84"/>
      <c r="CD58" s="84"/>
      <c r="CI58" s="128"/>
      <c r="CJ58" s="129"/>
      <c r="CL58" s="132"/>
      <c r="CM58" s="128"/>
      <c r="CN58" s="129"/>
      <c r="CP58" s="132"/>
      <c r="CQ58" s="128"/>
      <c r="CR58" s="129"/>
      <c r="CT58" s="132"/>
      <c r="CU58" s="128"/>
      <c r="CV58" s="129"/>
      <c r="CX58" s="132"/>
      <c r="CY58" s="128"/>
      <c r="CZ58" s="129"/>
      <c r="DB58" s="132"/>
      <c r="DC58" s="128"/>
      <c r="DD58" s="129"/>
      <c r="DF58" s="132"/>
      <c r="DG58" s="85"/>
      <c r="DH58" s="85"/>
      <c r="DI58" s="84"/>
      <c r="DK58" s="84"/>
      <c r="DP58" s="84"/>
      <c r="DU58" s="84"/>
      <c r="DY58" s="84"/>
      <c r="EC58" s="84"/>
      <c r="EG58" s="84"/>
      <c r="EK58" s="84"/>
    </row>
    <row r="59" customFormat="false" ht="12.75" hidden="false" customHeight="false" outlineLevel="0" collapsed="false">
      <c r="A59" s="37"/>
      <c r="E59" s="83"/>
      <c r="J59" s="84"/>
      <c r="N59" s="84"/>
      <c r="R59" s="84"/>
      <c r="V59" s="84"/>
      <c r="Z59" s="128"/>
      <c r="AA59" s="129"/>
      <c r="AC59" s="130"/>
      <c r="AD59" s="128"/>
      <c r="AE59" s="129"/>
      <c r="AG59" s="130"/>
      <c r="AH59" s="128"/>
      <c r="AI59" s="129"/>
      <c r="AK59" s="130"/>
      <c r="AL59" s="128"/>
      <c r="AM59" s="129"/>
      <c r="AO59" s="130"/>
      <c r="AP59" s="128"/>
      <c r="AQ59" s="129"/>
      <c r="AS59" s="130"/>
      <c r="AT59" s="128"/>
      <c r="AU59" s="129"/>
      <c r="AW59" s="130"/>
      <c r="AX59" s="85"/>
      <c r="AY59" s="84"/>
      <c r="AZ59" s="84"/>
      <c r="BA59" s="131"/>
      <c r="BB59" s="84"/>
      <c r="BE59" s="84"/>
      <c r="BI59" s="86"/>
      <c r="BO59" s="84"/>
      <c r="BT59" s="84"/>
      <c r="BY59" s="84"/>
      <c r="CD59" s="84"/>
      <c r="CI59" s="128"/>
      <c r="CJ59" s="129"/>
      <c r="CL59" s="132"/>
      <c r="CM59" s="128"/>
      <c r="CN59" s="129"/>
      <c r="CP59" s="132"/>
      <c r="CQ59" s="128"/>
      <c r="CR59" s="129"/>
      <c r="CT59" s="132"/>
      <c r="CU59" s="128"/>
      <c r="CV59" s="129"/>
      <c r="CX59" s="132"/>
      <c r="CY59" s="128"/>
      <c r="CZ59" s="129"/>
      <c r="DB59" s="132"/>
      <c r="DC59" s="128"/>
      <c r="DD59" s="129"/>
      <c r="DF59" s="132"/>
      <c r="DG59" s="85"/>
      <c r="DH59" s="85"/>
      <c r="DI59" s="84"/>
      <c r="DK59" s="84"/>
      <c r="DP59" s="84"/>
      <c r="DU59" s="84"/>
      <c r="DY59" s="84"/>
      <c r="EC59" s="84"/>
      <c r="EG59" s="84"/>
      <c r="EK59" s="84"/>
    </row>
    <row r="60" customFormat="false" ht="12.75" hidden="false" customHeight="false" outlineLevel="0" collapsed="false">
      <c r="A60" s="37"/>
      <c r="E60" s="83"/>
      <c r="J60" s="84"/>
      <c r="N60" s="84"/>
      <c r="R60" s="84"/>
      <c r="V60" s="84"/>
      <c r="Z60" s="128"/>
      <c r="AA60" s="129"/>
      <c r="AC60" s="130"/>
      <c r="AD60" s="128"/>
      <c r="AE60" s="129"/>
      <c r="AG60" s="130"/>
      <c r="AH60" s="128"/>
      <c r="AI60" s="129"/>
      <c r="AK60" s="130"/>
      <c r="AL60" s="128"/>
      <c r="AM60" s="129"/>
      <c r="AO60" s="130"/>
      <c r="AP60" s="128"/>
      <c r="AQ60" s="129"/>
      <c r="AS60" s="130"/>
      <c r="AT60" s="128"/>
      <c r="AU60" s="129"/>
      <c r="AW60" s="130"/>
      <c r="AX60" s="85"/>
      <c r="AY60" s="84"/>
      <c r="AZ60" s="84"/>
      <c r="BA60" s="131"/>
      <c r="BB60" s="84"/>
      <c r="BE60" s="84"/>
      <c r="BI60" s="86"/>
      <c r="BO60" s="84"/>
      <c r="BT60" s="84"/>
      <c r="BY60" s="84"/>
      <c r="CD60" s="84"/>
      <c r="CI60" s="128"/>
      <c r="CJ60" s="129"/>
      <c r="CL60" s="132"/>
      <c r="CM60" s="128"/>
      <c r="CN60" s="129"/>
      <c r="CP60" s="132"/>
      <c r="CQ60" s="128"/>
      <c r="CR60" s="129"/>
      <c r="CT60" s="132"/>
      <c r="CU60" s="128"/>
      <c r="CV60" s="129"/>
      <c r="CX60" s="132"/>
      <c r="CY60" s="128"/>
      <c r="CZ60" s="129"/>
      <c r="DB60" s="132"/>
      <c r="DC60" s="128"/>
      <c r="DD60" s="129"/>
      <c r="DF60" s="132"/>
      <c r="DG60" s="85"/>
      <c r="DH60" s="85"/>
      <c r="DI60" s="84"/>
      <c r="DK60" s="84"/>
      <c r="DP60" s="84"/>
      <c r="DU60" s="84"/>
      <c r="DY60" s="84"/>
      <c r="EC60" s="84"/>
      <c r="EG60" s="84"/>
      <c r="EK60" s="84"/>
    </row>
    <row r="61" customFormat="false" ht="12.75" hidden="false" customHeight="false" outlineLevel="0" collapsed="false">
      <c r="A61" s="37"/>
      <c r="E61" s="83"/>
      <c r="J61" s="84"/>
      <c r="N61" s="84"/>
      <c r="R61" s="84"/>
      <c r="V61" s="84"/>
      <c r="Z61" s="128"/>
      <c r="AA61" s="129"/>
      <c r="AC61" s="130"/>
      <c r="AD61" s="128"/>
      <c r="AE61" s="129"/>
      <c r="AG61" s="130"/>
      <c r="AH61" s="128"/>
      <c r="AI61" s="129"/>
      <c r="AK61" s="130"/>
      <c r="AL61" s="128"/>
      <c r="AM61" s="129"/>
      <c r="AO61" s="130"/>
      <c r="AP61" s="128"/>
      <c r="AQ61" s="129"/>
      <c r="AS61" s="130"/>
      <c r="AT61" s="128"/>
      <c r="AU61" s="129"/>
      <c r="AW61" s="130"/>
      <c r="AX61" s="85"/>
      <c r="AY61" s="84"/>
      <c r="AZ61" s="84"/>
      <c r="BA61" s="131"/>
      <c r="BB61" s="84"/>
      <c r="BE61" s="84"/>
      <c r="BI61" s="86"/>
      <c r="BO61" s="84"/>
      <c r="BT61" s="84"/>
      <c r="BY61" s="84"/>
      <c r="CD61" s="84"/>
      <c r="CI61" s="128"/>
      <c r="CJ61" s="129"/>
      <c r="CL61" s="132"/>
      <c r="CM61" s="128"/>
      <c r="CN61" s="129"/>
      <c r="CP61" s="132"/>
      <c r="CQ61" s="128"/>
      <c r="CR61" s="129"/>
      <c r="CT61" s="132"/>
      <c r="CU61" s="128"/>
      <c r="CV61" s="129"/>
      <c r="CX61" s="132"/>
      <c r="CY61" s="128"/>
      <c r="CZ61" s="129"/>
      <c r="DB61" s="132"/>
      <c r="DC61" s="128"/>
      <c r="DD61" s="129"/>
      <c r="DF61" s="132"/>
      <c r="DG61" s="85"/>
      <c r="DH61" s="85"/>
      <c r="DI61" s="84"/>
      <c r="DK61" s="84"/>
      <c r="DP61" s="84"/>
      <c r="DU61" s="84"/>
      <c r="DY61" s="84"/>
      <c r="EC61" s="84"/>
      <c r="EG61" s="84"/>
      <c r="EK61" s="84"/>
    </row>
    <row r="62" customFormat="false" ht="12.75" hidden="false" customHeight="false" outlineLevel="0" collapsed="false">
      <c r="A62" s="37"/>
      <c r="E62" s="83"/>
      <c r="J62" s="84"/>
      <c r="N62" s="84"/>
      <c r="R62" s="84"/>
      <c r="V62" s="84"/>
      <c r="Z62" s="128"/>
      <c r="AA62" s="129"/>
      <c r="AC62" s="130"/>
      <c r="AD62" s="128"/>
      <c r="AE62" s="129"/>
      <c r="AG62" s="130"/>
      <c r="AH62" s="128"/>
      <c r="AI62" s="129"/>
      <c r="AK62" s="130"/>
      <c r="AL62" s="128"/>
      <c r="AM62" s="129"/>
      <c r="AO62" s="130"/>
      <c r="AP62" s="128"/>
      <c r="AQ62" s="129"/>
      <c r="AS62" s="130"/>
      <c r="AT62" s="128"/>
      <c r="AU62" s="129"/>
      <c r="AW62" s="130"/>
      <c r="AX62" s="85"/>
      <c r="AY62" s="84"/>
      <c r="AZ62" s="84"/>
      <c r="BA62" s="131"/>
      <c r="BB62" s="84"/>
      <c r="BE62" s="84"/>
      <c r="BI62" s="86"/>
      <c r="BO62" s="84"/>
      <c r="BT62" s="84"/>
      <c r="BY62" s="84"/>
      <c r="CD62" s="84"/>
      <c r="CI62" s="128"/>
      <c r="CJ62" s="129"/>
      <c r="CL62" s="132"/>
      <c r="CM62" s="128"/>
      <c r="CN62" s="129"/>
      <c r="CP62" s="132"/>
      <c r="CQ62" s="128"/>
      <c r="CR62" s="129"/>
      <c r="CT62" s="132"/>
      <c r="CU62" s="128"/>
      <c r="CV62" s="129"/>
      <c r="CX62" s="132"/>
      <c r="CY62" s="128"/>
      <c r="CZ62" s="129"/>
      <c r="DB62" s="132"/>
      <c r="DC62" s="128"/>
      <c r="DD62" s="129"/>
      <c r="DF62" s="132"/>
      <c r="DG62" s="85"/>
      <c r="DH62" s="85"/>
      <c r="DI62" s="84"/>
      <c r="DK62" s="84"/>
      <c r="DP62" s="84"/>
      <c r="DU62" s="84"/>
      <c r="DY62" s="84"/>
      <c r="EC62" s="84"/>
      <c r="EG62" s="84"/>
      <c r="EK62" s="84"/>
    </row>
    <row r="63" customFormat="false" ht="12.75" hidden="false" customHeight="false" outlineLevel="0" collapsed="false">
      <c r="A63" s="37"/>
      <c r="E63" s="83"/>
      <c r="J63" s="84"/>
      <c r="N63" s="84"/>
      <c r="R63" s="84"/>
      <c r="V63" s="84"/>
      <c r="Z63" s="128"/>
      <c r="AA63" s="129"/>
      <c r="AC63" s="130"/>
      <c r="AD63" s="128"/>
      <c r="AE63" s="129"/>
      <c r="AG63" s="130"/>
      <c r="AH63" s="128"/>
      <c r="AI63" s="129"/>
      <c r="AK63" s="130"/>
      <c r="AL63" s="128"/>
      <c r="AM63" s="129"/>
      <c r="AO63" s="130"/>
      <c r="AP63" s="128"/>
      <c r="AQ63" s="129"/>
      <c r="AS63" s="130"/>
      <c r="AT63" s="128"/>
      <c r="AU63" s="129"/>
      <c r="AW63" s="130"/>
      <c r="AX63" s="85"/>
      <c r="AY63" s="84"/>
      <c r="AZ63" s="84"/>
      <c r="BA63" s="131"/>
      <c r="BB63" s="84"/>
      <c r="BE63" s="84"/>
      <c r="BI63" s="86"/>
      <c r="BO63" s="84"/>
      <c r="BT63" s="84"/>
      <c r="BY63" s="84"/>
      <c r="CD63" s="84"/>
      <c r="CI63" s="128"/>
      <c r="CJ63" s="129"/>
      <c r="CL63" s="132"/>
      <c r="CM63" s="128"/>
      <c r="CN63" s="129"/>
      <c r="CP63" s="132"/>
      <c r="CQ63" s="128"/>
      <c r="CR63" s="129"/>
      <c r="CT63" s="132"/>
      <c r="CU63" s="128"/>
      <c r="CV63" s="129"/>
      <c r="CX63" s="132"/>
      <c r="CY63" s="128"/>
      <c r="CZ63" s="129"/>
      <c r="DB63" s="132"/>
      <c r="DC63" s="128"/>
      <c r="DD63" s="129"/>
      <c r="DF63" s="132"/>
      <c r="DG63" s="85"/>
      <c r="DH63" s="85"/>
      <c r="DI63" s="84"/>
      <c r="DK63" s="84"/>
      <c r="DP63" s="84"/>
      <c r="DU63" s="84"/>
      <c r="DY63" s="84"/>
      <c r="EC63" s="84"/>
      <c r="EG63" s="84"/>
      <c r="EK63" s="84"/>
    </row>
    <row r="64" customFormat="false" ht="12.75" hidden="false" customHeight="false" outlineLevel="0" collapsed="false">
      <c r="A64" s="37"/>
      <c r="E64" s="83"/>
      <c r="J64" s="84"/>
      <c r="N64" s="84"/>
      <c r="R64" s="84"/>
      <c r="V64" s="84"/>
      <c r="Z64" s="128"/>
      <c r="AA64" s="129"/>
      <c r="AC64" s="130"/>
      <c r="AD64" s="128"/>
      <c r="AE64" s="129"/>
      <c r="AG64" s="130"/>
      <c r="AH64" s="128"/>
      <c r="AI64" s="129"/>
      <c r="AK64" s="130"/>
      <c r="AL64" s="128"/>
      <c r="AM64" s="129"/>
      <c r="AO64" s="130"/>
      <c r="AP64" s="128"/>
      <c r="AQ64" s="129"/>
      <c r="AS64" s="130"/>
      <c r="AT64" s="128"/>
      <c r="AU64" s="129"/>
      <c r="AW64" s="130"/>
      <c r="AX64" s="85"/>
      <c r="AY64" s="84"/>
      <c r="AZ64" s="84"/>
      <c r="BA64" s="131"/>
      <c r="BB64" s="84"/>
      <c r="BE64" s="84"/>
      <c r="BI64" s="86"/>
      <c r="BO64" s="84"/>
      <c r="BT64" s="84"/>
      <c r="BY64" s="84"/>
      <c r="CD64" s="84"/>
      <c r="CI64" s="128"/>
      <c r="CJ64" s="129"/>
      <c r="CL64" s="132"/>
      <c r="CM64" s="128"/>
      <c r="CN64" s="129"/>
      <c r="CP64" s="132"/>
      <c r="CQ64" s="128"/>
      <c r="CR64" s="129"/>
      <c r="CT64" s="132"/>
      <c r="CU64" s="128"/>
      <c r="CV64" s="129"/>
      <c r="CX64" s="132"/>
      <c r="CY64" s="128"/>
      <c r="CZ64" s="129"/>
      <c r="DB64" s="132"/>
      <c r="DC64" s="128"/>
      <c r="DD64" s="129"/>
      <c r="DF64" s="132"/>
      <c r="DG64" s="85"/>
      <c r="DH64" s="85"/>
      <c r="DI64" s="84"/>
      <c r="DK64" s="84"/>
      <c r="DP64" s="84"/>
      <c r="DU64" s="84"/>
      <c r="DY64" s="84"/>
      <c r="EC64" s="84"/>
      <c r="EG64" s="84"/>
      <c r="EK64" s="84"/>
    </row>
    <row r="65" customFormat="false" ht="12.75" hidden="false" customHeight="false" outlineLevel="0" collapsed="false">
      <c r="A65" s="37"/>
      <c r="E65" s="83"/>
      <c r="J65" s="84"/>
      <c r="N65" s="84"/>
      <c r="R65" s="84"/>
      <c r="V65" s="84"/>
      <c r="Z65" s="128"/>
      <c r="AA65" s="129"/>
      <c r="AC65" s="130"/>
      <c r="AD65" s="128"/>
      <c r="AE65" s="129"/>
      <c r="AG65" s="130"/>
      <c r="AH65" s="128"/>
      <c r="AI65" s="129"/>
      <c r="AK65" s="130"/>
      <c r="AL65" s="128"/>
      <c r="AM65" s="129"/>
      <c r="AO65" s="130"/>
      <c r="AP65" s="128"/>
      <c r="AQ65" s="129"/>
      <c r="AS65" s="130"/>
      <c r="AT65" s="128"/>
      <c r="AU65" s="129"/>
      <c r="AW65" s="130"/>
      <c r="AX65" s="85"/>
      <c r="AY65" s="84"/>
      <c r="AZ65" s="84"/>
      <c r="BA65" s="131"/>
      <c r="BB65" s="84"/>
      <c r="BE65" s="84"/>
      <c r="BI65" s="86"/>
      <c r="BO65" s="84"/>
      <c r="BT65" s="84"/>
      <c r="BY65" s="84"/>
      <c r="CD65" s="84"/>
      <c r="CI65" s="128"/>
      <c r="CJ65" s="129"/>
      <c r="CL65" s="132"/>
      <c r="CM65" s="128"/>
      <c r="CN65" s="129"/>
      <c r="CP65" s="132"/>
      <c r="CQ65" s="128"/>
      <c r="CR65" s="129"/>
      <c r="CT65" s="132"/>
      <c r="CU65" s="128"/>
      <c r="CV65" s="129"/>
      <c r="CX65" s="132"/>
      <c r="CY65" s="128"/>
      <c r="CZ65" s="129"/>
      <c r="DB65" s="132"/>
      <c r="DC65" s="128"/>
      <c r="DD65" s="129"/>
      <c r="DF65" s="132"/>
      <c r="DG65" s="85"/>
      <c r="DH65" s="85"/>
      <c r="DI65" s="84"/>
      <c r="DK65" s="84"/>
      <c r="DP65" s="84"/>
      <c r="DU65" s="84"/>
      <c r="DY65" s="84"/>
      <c r="EC65" s="84"/>
      <c r="EG65" s="84"/>
      <c r="EK65" s="84"/>
    </row>
    <row r="66" customFormat="false" ht="12.75" hidden="false" customHeight="false" outlineLevel="0" collapsed="false">
      <c r="A66" s="37"/>
      <c r="E66" s="83"/>
      <c r="J66" s="84"/>
      <c r="N66" s="84"/>
      <c r="R66" s="84"/>
      <c r="V66" s="84"/>
      <c r="Z66" s="128"/>
      <c r="AA66" s="129"/>
      <c r="AC66" s="130"/>
      <c r="AD66" s="128"/>
      <c r="AE66" s="129"/>
      <c r="AG66" s="130"/>
      <c r="AH66" s="128"/>
      <c r="AI66" s="129"/>
      <c r="AK66" s="130"/>
      <c r="AL66" s="128"/>
      <c r="AM66" s="129"/>
      <c r="AO66" s="130"/>
      <c r="AP66" s="128"/>
      <c r="AQ66" s="129"/>
      <c r="AS66" s="130"/>
      <c r="AT66" s="128"/>
      <c r="AU66" s="129"/>
      <c r="AW66" s="130"/>
      <c r="AX66" s="85"/>
      <c r="AY66" s="84"/>
      <c r="AZ66" s="84"/>
      <c r="BA66" s="131"/>
      <c r="BB66" s="84"/>
      <c r="BE66" s="84"/>
      <c r="BI66" s="86"/>
      <c r="BO66" s="84"/>
      <c r="BT66" s="84"/>
      <c r="BY66" s="84"/>
      <c r="CD66" s="84"/>
      <c r="CI66" s="128"/>
      <c r="CJ66" s="129"/>
      <c r="CL66" s="132"/>
      <c r="CM66" s="128"/>
      <c r="CN66" s="129"/>
      <c r="CP66" s="132"/>
      <c r="CQ66" s="128"/>
      <c r="CR66" s="129"/>
      <c r="CT66" s="132"/>
      <c r="CU66" s="128"/>
      <c r="CV66" s="129"/>
      <c r="CX66" s="132"/>
      <c r="CY66" s="128"/>
      <c r="CZ66" s="129"/>
      <c r="DB66" s="132"/>
      <c r="DC66" s="128"/>
      <c r="DD66" s="129"/>
      <c r="DF66" s="132"/>
      <c r="DG66" s="85"/>
      <c r="DH66" s="85"/>
      <c r="DI66" s="84"/>
      <c r="DK66" s="84"/>
      <c r="DP66" s="84"/>
      <c r="DU66" s="84"/>
      <c r="DY66" s="84"/>
      <c r="EC66" s="84"/>
      <c r="EG66" s="84"/>
      <c r="EK66" s="84"/>
    </row>
    <row r="67" customFormat="false" ht="12.75" hidden="false" customHeight="false" outlineLevel="0" collapsed="false">
      <c r="A67" s="37"/>
      <c r="E67" s="83"/>
      <c r="J67" s="84"/>
      <c r="N67" s="84"/>
      <c r="R67" s="84"/>
      <c r="V67" s="84"/>
      <c r="Z67" s="128"/>
      <c r="AA67" s="129"/>
      <c r="AC67" s="130"/>
      <c r="AD67" s="128"/>
      <c r="AE67" s="129"/>
      <c r="AG67" s="130"/>
      <c r="AH67" s="128"/>
      <c r="AI67" s="129"/>
      <c r="AK67" s="130"/>
      <c r="AL67" s="128"/>
      <c r="AM67" s="129"/>
      <c r="AO67" s="130"/>
      <c r="AP67" s="128"/>
      <c r="AQ67" s="129"/>
      <c r="AS67" s="130"/>
      <c r="AT67" s="128"/>
      <c r="AU67" s="129"/>
      <c r="AW67" s="130"/>
      <c r="AX67" s="85"/>
      <c r="AY67" s="84"/>
      <c r="AZ67" s="84"/>
      <c r="BA67" s="131"/>
      <c r="BB67" s="84"/>
      <c r="BE67" s="84"/>
      <c r="BI67" s="86"/>
      <c r="BO67" s="84"/>
      <c r="BT67" s="84"/>
      <c r="BY67" s="84"/>
      <c r="CD67" s="84"/>
      <c r="CI67" s="128"/>
      <c r="CJ67" s="129"/>
      <c r="CL67" s="132"/>
      <c r="CM67" s="128"/>
      <c r="CN67" s="129"/>
      <c r="CP67" s="132"/>
      <c r="CQ67" s="128"/>
      <c r="CR67" s="129"/>
      <c r="CT67" s="132"/>
      <c r="CU67" s="128"/>
      <c r="CV67" s="129"/>
      <c r="CX67" s="132"/>
      <c r="CY67" s="128"/>
      <c r="CZ67" s="129"/>
      <c r="DB67" s="132"/>
      <c r="DC67" s="128"/>
      <c r="DD67" s="129"/>
      <c r="DF67" s="132"/>
      <c r="DG67" s="85"/>
      <c r="DH67" s="85"/>
      <c r="DI67" s="84"/>
      <c r="DK67" s="84"/>
      <c r="DP67" s="84"/>
      <c r="DU67" s="84"/>
      <c r="DY67" s="84"/>
      <c r="EC67" s="84"/>
      <c r="EG67" s="84"/>
      <c r="EK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128"/>
      <c r="AA68" s="129"/>
      <c r="AC68" s="130"/>
      <c r="AD68" s="128"/>
      <c r="AE68" s="129"/>
      <c r="AG68" s="130"/>
      <c r="AH68" s="128"/>
      <c r="AI68" s="129"/>
      <c r="AK68" s="130"/>
      <c r="AL68" s="128"/>
      <c r="AM68" s="129"/>
      <c r="AO68" s="130"/>
      <c r="AP68" s="128"/>
      <c r="AQ68" s="129"/>
      <c r="AS68" s="130"/>
      <c r="AT68" s="128"/>
      <c r="AU68" s="129"/>
      <c r="AW68" s="130"/>
      <c r="AX68" s="85"/>
      <c r="AY68" s="84"/>
      <c r="AZ68" s="84"/>
      <c r="BA68" s="131"/>
      <c r="BB68" s="84"/>
      <c r="BE68" s="84"/>
      <c r="BI68" s="86"/>
      <c r="BO68" s="84"/>
      <c r="BT68" s="84"/>
      <c r="BY68" s="84"/>
      <c r="CD68" s="84"/>
      <c r="CI68" s="128"/>
      <c r="CJ68" s="129"/>
      <c r="CL68" s="132"/>
      <c r="CM68" s="128"/>
      <c r="CN68" s="129"/>
      <c r="CP68" s="132"/>
      <c r="CQ68" s="128"/>
      <c r="CR68" s="129"/>
      <c r="CT68" s="132"/>
      <c r="CU68" s="128"/>
      <c r="CV68" s="129"/>
      <c r="CX68" s="132"/>
      <c r="CY68" s="128"/>
      <c r="CZ68" s="129"/>
      <c r="DB68" s="132"/>
      <c r="DC68" s="128"/>
      <c r="DD68" s="129"/>
      <c r="DF68" s="132"/>
      <c r="DG68" s="85"/>
      <c r="DH68" s="85"/>
      <c r="DI68" s="84"/>
      <c r="DK68" s="84"/>
      <c r="DP68" s="84"/>
      <c r="DU68" s="84"/>
      <c r="DY68" s="84"/>
      <c r="EC68" s="84"/>
      <c r="EG68" s="84"/>
      <c r="EK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128"/>
      <c r="AA69" s="129"/>
      <c r="AC69" s="130"/>
      <c r="AD69" s="128"/>
      <c r="AE69" s="129"/>
      <c r="AG69" s="130"/>
      <c r="AH69" s="128"/>
      <c r="AI69" s="129"/>
      <c r="AK69" s="130"/>
      <c r="AL69" s="128"/>
      <c r="AM69" s="129"/>
      <c r="AO69" s="130"/>
      <c r="AP69" s="128"/>
      <c r="AQ69" s="129"/>
      <c r="AS69" s="130"/>
      <c r="AT69" s="128"/>
      <c r="AU69" s="129"/>
      <c r="AW69" s="130"/>
      <c r="AX69" s="85"/>
      <c r="AY69" s="84"/>
      <c r="AZ69" s="84"/>
      <c r="BA69" s="131"/>
      <c r="BB69" s="84"/>
      <c r="BE69" s="84"/>
      <c r="BI69" s="86"/>
      <c r="BO69" s="84"/>
      <c r="BT69" s="84"/>
      <c r="BY69" s="84"/>
      <c r="CD69" s="84"/>
      <c r="CI69" s="128"/>
      <c r="CJ69" s="129"/>
      <c r="CL69" s="132"/>
      <c r="CM69" s="128"/>
      <c r="CN69" s="129"/>
      <c r="CP69" s="132"/>
      <c r="CQ69" s="128"/>
      <c r="CR69" s="129"/>
      <c r="CT69" s="132"/>
      <c r="CU69" s="128"/>
      <c r="CV69" s="129"/>
      <c r="CX69" s="132"/>
      <c r="CY69" s="128"/>
      <c r="CZ69" s="129"/>
      <c r="DB69" s="132"/>
      <c r="DC69" s="128"/>
      <c r="DD69" s="129"/>
      <c r="DF69" s="132"/>
      <c r="DG69" s="85"/>
      <c r="DH69" s="85"/>
      <c r="DI69" s="84"/>
      <c r="DK69" s="84"/>
      <c r="DP69" s="84"/>
      <c r="DU69" s="84"/>
      <c r="DY69" s="84"/>
      <c r="EC69" s="84"/>
      <c r="EG69" s="84"/>
      <c r="EK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128"/>
      <c r="AA70" s="129"/>
      <c r="AC70" s="130"/>
      <c r="AD70" s="128"/>
      <c r="AE70" s="129"/>
      <c r="AG70" s="130"/>
      <c r="AH70" s="128"/>
      <c r="AI70" s="129"/>
      <c r="AK70" s="130"/>
      <c r="AL70" s="128"/>
      <c r="AM70" s="129"/>
      <c r="AO70" s="130"/>
      <c r="AP70" s="128"/>
      <c r="AQ70" s="129"/>
      <c r="AS70" s="130"/>
      <c r="AT70" s="128"/>
      <c r="AU70" s="129"/>
      <c r="AW70" s="130"/>
      <c r="AX70" s="85"/>
      <c r="AY70" s="84"/>
      <c r="AZ70" s="84"/>
      <c r="BA70" s="131"/>
      <c r="BB70" s="84"/>
      <c r="BE70" s="84"/>
      <c r="BI70" s="86"/>
      <c r="BO70" s="84"/>
      <c r="BT70" s="84"/>
      <c r="BY70" s="84"/>
      <c r="CD70" s="84"/>
      <c r="CI70" s="128"/>
      <c r="CJ70" s="129"/>
      <c r="CL70" s="132"/>
      <c r="CM70" s="128"/>
      <c r="CN70" s="129"/>
      <c r="CP70" s="132"/>
      <c r="CQ70" s="128"/>
      <c r="CR70" s="129"/>
      <c r="CT70" s="132"/>
      <c r="CU70" s="128"/>
      <c r="CV70" s="129"/>
      <c r="CX70" s="132"/>
      <c r="CY70" s="128"/>
      <c r="CZ70" s="129"/>
      <c r="DB70" s="132"/>
      <c r="DC70" s="128"/>
      <c r="DD70" s="129"/>
      <c r="DF70" s="132"/>
      <c r="DG70" s="85"/>
      <c r="DH70" s="85"/>
      <c r="DI70" s="84"/>
      <c r="DK70" s="84"/>
      <c r="DP70" s="84"/>
      <c r="DU70" s="84"/>
      <c r="DY70" s="84"/>
      <c r="EC70" s="84"/>
      <c r="EG70" s="84"/>
      <c r="EK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128"/>
      <c r="AA71" s="129"/>
      <c r="AC71" s="130"/>
      <c r="AD71" s="128"/>
      <c r="AE71" s="129"/>
      <c r="AG71" s="130"/>
      <c r="AH71" s="128"/>
      <c r="AI71" s="129"/>
      <c r="AK71" s="130"/>
      <c r="AL71" s="128"/>
      <c r="AM71" s="129"/>
      <c r="AO71" s="130"/>
      <c r="AP71" s="128"/>
      <c r="AQ71" s="129"/>
      <c r="AS71" s="130"/>
      <c r="AT71" s="128"/>
      <c r="AU71" s="129"/>
      <c r="AW71" s="130"/>
      <c r="AX71" s="85"/>
      <c r="AY71" s="84"/>
      <c r="AZ71" s="84"/>
      <c r="BA71" s="131"/>
      <c r="BB71" s="84"/>
      <c r="BE71" s="84"/>
      <c r="BI71" s="86"/>
      <c r="BO71" s="84"/>
      <c r="BT71" s="84"/>
      <c r="BY71" s="84"/>
      <c r="CD71" s="84"/>
      <c r="CI71" s="128"/>
      <c r="CJ71" s="129"/>
      <c r="CL71" s="132"/>
      <c r="CM71" s="128"/>
      <c r="CN71" s="129"/>
      <c r="CP71" s="132"/>
      <c r="CQ71" s="128"/>
      <c r="CR71" s="129"/>
      <c r="CT71" s="132"/>
      <c r="CU71" s="128"/>
      <c r="CV71" s="129"/>
      <c r="CX71" s="132"/>
      <c r="CY71" s="128"/>
      <c r="CZ71" s="129"/>
      <c r="DB71" s="132"/>
      <c r="DC71" s="128"/>
      <c r="DD71" s="129"/>
      <c r="DF71" s="132"/>
      <c r="DG71" s="85"/>
      <c r="DH71" s="85"/>
      <c r="DI71" s="84"/>
      <c r="DK71" s="84"/>
      <c r="DP71" s="84"/>
      <c r="DU71" s="84"/>
      <c r="DY71" s="84"/>
      <c r="EC71" s="84"/>
      <c r="EG71" s="84"/>
      <c r="EK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128"/>
      <c r="AA72" s="129"/>
      <c r="AC72" s="130"/>
      <c r="AD72" s="128"/>
      <c r="AE72" s="129"/>
      <c r="AG72" s="130"/>
      <c r="AH72" s="128"/>
      <c r="AI72" s="129"/>
      <c r="AK72" s="130"/>
      <c r="AL72" s="128"/>
      <c r="AM72" s="129"/>
      <c r="AO72" s="130"/>
      <c r="AP72" s="128"/>
      <c r="AQ72" s="129"/>
      <c r="AS72" s="130"/>
      <c r="AT72" s="128"/>
      <c r="AU72" s="129"/>
      <c r="AW72" s="130"/>
      <c r="AX72" s="85"/>
      <c r="AY72" s="84"/>
      <c r="AZ72" s="84"/>
      <c r="BA72" s="131"/>
      <c r="BB72" s="84"/>
      <c r="BE72" s="84"/>
      <c r="BI72" s="86"/>
      <c r="BO72" s="84"/>
      <c r="BT72" s="84"/>
      <c r="BY72" s="84"/>
      <c r="CD72" s="84"/>
      <c r="CI72" s="128"/>
      <c r="CJ72" s="129"/>
      <c r="CL72" s="132"/>
      <c r="CM72" s="128"/>
      <c r="CN72" s="129"/>
      <c r="CP72" s="132"/>
      <c r="CQ72" s="128"/>
      <c r="CR72" s="129"/>
      <c r="CT72" s="132"/>
      <c r="CU72" s="128"/>
      <c r="CV72" s="129"/>
      <c r="CX72" s="132"/>
      <c r="CY72" s="128"/>
      <c r="CZ72" s="129"/>
      <c r="DB72" s="132"/>
      <c r="DC72" s="128"/>
      <c r="DD72" s="129"/>
      <c r="DF72" s="132"/>
      <c r="DG72" s="85"/>
      <c r="DH72" s="85"/>
      <c r="DI72" s="84"/>
      <c r="DK72" s="84"/>
      <c r="DP72" s="84"/>
      <c r="DU72" s="84"/>
      <c r="DY72" s="84"/>
      <c r="EC72" s="84"/>
      <c r="EG72" s="84"/>
      <c r="EK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128"/>
      <c r="AA73" s="129"/>
      <c r="AC73" s="130"/>
      <c r="AD73" s="128"/>
      <c r="AE73" s="129"/>
      <c r="AG73" s="130"/>
      <c r="AH73" s="128"/>
      <c r="AI73" s="129"/>
      <c r="AK73" s="130"/>
      <c r="AL73" s="128"/>
      <c r="AM73" s="129"/>
      <c r="AO73" s="130"/>
      <c r="AP73" s="128"/>
      <c r="AQ73" s="129"/>
      <c r="AS73" s="130"/>
      <c r="AT73" s="128"/>
      <c r="AU73" s="129"/>
      <c r="AW73" s="130"/>
      <c r="AX73" s="85"/>
      <c r="AY73" s="84"/>
      <c r="AZ73" s="84"/>
      <c r="BA73" s="131"/>
      <c r="BB73" s="84"/>
      <c r="BE73" s="84"/>
      <c r="BI73" s="86"/>
      <c r="BO73" s="84"/>
      <c r="BT73" s="84"/>
      <c r="BY73" s="84"/>
      <c r="CD73" s="84"/>
      <c r="CI73" s="128"/>
      <c r="CJ73" s="129"/>
      <c r="CL73" s="132"/>
      <c r="CM73" s="128"/>
      <c r="CN73" s="129"/>
      <c r="CP73" s="132"/>
      <c r="CQ73" s="128"/>
      <c r="CR73" s="129"/>
      <c r="CT73" s="132"/>
      <c r="CU73" s="128"/>
      <c r="CV73" s="129"/>
      <c r="CX73" s="132"/>
      <c r="CY73" s="128"/>
      <c r="CZ73" s="129"/>
      <c r="DB73" s="132"/>
      <c r="DC73" s="128"/>
      <c r="DD73" s="129"/>
      <c r="DF73" s="132"/>
      <c r="DG73" s="85"/>
      <c r="DH73" s="85"/>
      <c r="DI73" s="84"/>
      <c r="DK73" s="84"/>
      <c r="DP73" s="84"/>
      <c r="DU73" s="84"/>
      <c r="DY73" s="84"/>
      <c r="EC73" s="84"/>
      <c r="EG73" s="84"/>
      <c r="EK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128"/>
      <c r="AA74" s="129"/>
      <c r="AC74" s="130"/>
      <c r="AD74" s="128"/>
      <c r="AE74" s="129"/>
      <c r="AG74" s="130"/>
      <c r="AH74" s="128"/>
      <c r="AI74" s="129"/>
      <c r="AK74" s="130"/>
      <c r="AL74" s="128"/>
      <c r="AM74" s="129"/>
      <c r="AO74" s="130"/>
      <c r="AP74" s="128"/>
      <c r="AQ74" s="129"/>
      <c r="AS74" s="130"/>
      <c r="AT74" s="128"/>
      <c r="AU74" s="129"/>
      <c r="AW74" s="130"/>
      <c r="AX74" s="85"/>
      <c r="AY74" s="84"/>
      <c r="AZ74" s="84"/>
      <c r="BA74" s="131"/>
      <c r="BB74" s="84"/>
      <c r="BE74" s="84"/>
      <c r="BI74" s="86"/>
      <c r="BO74" s="84"/>
      <c r="BT74" s="84"/>
      <c r="BY74" s="84"/>
      <c r="CD74" s="84"/>
      <c r="CI74" s="128"/>
      <c r="CJ74" s="129"/>
      <c r="CL74" s="132"/>
      <c r="CM74" s="128"/>
      <c r="CN74" s="129"/>
      <c r="CP74" s="132"/>
      <c r="CQ74" s="128"/>
      <c r="CR74" s="129"/>
      <c r="CT74" s="132"/>
      <c r="CU74" s="128"/>
      <c r="CV74" s="129"/>
      <c r="CX74" s="132"/>
      <c r="CY74" s="128"/>
      <c r="CZ74" s="129"/>
      <c r="DB74" s="132"/>
      <c r="DC74" s="128"/>
      <c r="DD74" s="129"/>
      <c r="DF74" s="132"/>
      <c r="DG74" s="85"/>
      <c r="DH74" s="85"/>
      <c r="DI74" s="84"/>
      <c r="DK74" s="84"/>
      <c r="DP74" s="84"/>
      <c r="DU74" s="84"/>
      <c r="DY74" s="84"/>
      <c r="EC74" s="84"/>
      <c r="EG74" s="84"/>
      <c r="EK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128"/>
      <c r="AA75" s="129"/>
      <c r="AC75" s="130"/>
      <c r="AD75" s="128"/>
      <c r="AE75" s="129"/>
      <c r="AG75" s="130"/>
      <c r="AH75" s="128"/>
      <c r="AI75" s="129"/>
      <c r="AK75" s="130"/>
      <c r="AL75" s="128"/>
      <c r="AM75" s="129"/>
      <c r="AO75" s="130"/>
      <c r="AP75" s="128"/>
      <c r="AQ75" s="129"/>
      <c r="AS75" s="130"/>
      <c r="AT75" s="128"/>
      <c r="AU75" s="129"/>
      <c r="AW75" s="130"/>
      <c r="AX75" s="85"/>
      <c r="AY75" s="84"/>
      <c r="AZ75" s="84"/>
      <c r="BA75" s="131"/>
      <c r="BB75" s="84"/>
      <c r="BE75" s="84"/>
      <c r="BI75" s="86"/>
      <c r="BO75" s="84"/>
      <c r="BT75" s="84"/>
      <c r="BY75" s="84"/>
      <c r="CD75" s="84"/>
      <c r="CI75" s="128"/>
      <c r="CJ75" s="129"/>
      <c r="CL75" s="132"/>
      <c r="CM75" s="128"/>
      <c r="CN75" s="129"/>
      <c r="CP75" s="132"/>
      <c r="CQ75" s="128"/>
      <c r="CR75" s="129"/>
      <c r="CT75" s="132"/>
      <c r="CU75" s="128"/>
      <c r="CV75" s="129"/>
      <c r="CX75" s="132"/>
      <c r="CY75" s="128"/>
      <c r="CZ75" s="129"/>
      <c r="DB75" s="132"/>
      <c r="DC75" s="128"/>
      <c r="DD75" s="129"/>
      <c r="DF75" s="132"/>
      <c r="DG75" s="85"/>
      <c r="DH75" s="85"/>
      <c r="DI75" s="84"/>
      <c r="DK75" s="84"/>
      <c r="DP75" s="84"/>
      <c r="DU75" s="84"/>
      <c r="DY75" s="84"/>
      <c r="EC75" s="84"/>
      <c r="EG75" s="84"/>
      <c r="EK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128"/>
      <c r="AA76" s="129"/>
      <c r="AC76" s="130"/>
      <c r="AD76" s="128"/>
      <c r="AE76" s="129"/>
      <c r="AG76" s="130"/>
      <c r="AH76" s="128"/>
      <c r="AI76" s="129"/>
      <c r="AK76" s="130"/>
      <c r="AL76" s="128"/>
      <c r="AM76" s="129"/>
      <c r="AO76" s="130"/>
      <c r="AP76" s="128"/>
      <c r="AQ76" s="129"/>
      <c r="AS76" s="130"/>
      <c r="AT76" s="128"/>
      <c r="AU76" s="129"/>
      <c r="AW76" s="130"/>
      <c r="AX76" s="85"/>
      <c r="AY76" s="84"/>
      <c r="AZ76" s="84"/>
      <c r="BA76" s="131"/>
      <c r="BB76" s="84"/>
      <c r="BE76" s="84"/>
      <c r="BI76" s="86"/>
      <c r="BO76" s="84"/>
      <c r="BT76" s="84"/>
      <c r="BY76" s="84"/>
      <c r="CD76" s="84"/>
      <c r="CI76" s="128"/>
      <c r="CJ76" s="129"/>
      <c r="CL76" s="132"/>
      <c r="CM76" s="128"/>
      <c r="CN76" s="129"/>
      <c r="CP76" s="132"/>
      <c r="CQ76" s="128"/>
      <c r="CR76" s="129"/>
      <c r="CT76" s="132"/>
      <c r="CU76" s="128"/>
      <c r="CV76" s="129"/>
      <c r="CX76" s="132"/>
      <c r="CY76" s="128"/>
      <c r="CZ76" s="129"/>
      <c r="DB76" s="132"/>
      <c r="DC76" s="128"/>
      <c r="DD76" s="129"/>
      <c r="DF76" s="132"/>
      <c r="DG76" s="85"/>
      <c r="DH76" s="85"/>
      <c r="DI76" s="84"/>
      <c r="DK76" s="84"/>
      <c r="DP76" s="84"/>
      <c r="DU76" s="84"/>
      <c r="DY76" s="84"/>
      <c r="EC76" s="84"/>
      <c r="EG76" s="84"/>
      <c r="EK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128"/>
      <c r="AA77" s="129"/>
      <c r="AC77" s="130"/>
      <c r="AD77" s="128"/>
      <c r="AE77" s="129"/>
      <c r="AG77" s="130"/>
      <c r="AH77" s="128"/>
      <c r="AI77" s="129"/>
      <c r="AK77" s="130"/>
      <c r="AL77" s="128"/>
      <c r="AM77" s="129"/>
      <c r="AO77" s="130"/>
      <c r="AP77" s="128"/>
      <c r="AQ77" s="129"/>
      <c r="AS77" s="130"/>
      <c r="AT77" s="128"/>
      <c r="AU77" s="129"/>
      <c r="AW77" s="130"/>
      <c r="AX77" s="85"/>
      <c r="AY77" s="84"/>
      <c r="AZ77" s="84"/>
      <c r="BA77" s="131"/>
      <c r="BB77" s="84"/>
      <c r="BE77" s="84"/>
      <c r="BI77" s="86"/>
      <c r="BO77" s="84"/>
      <c r="BT77" s="84"/>
      <c r="BY77" s="84"/>
      <c r="CD77" s="84"/>
      <c r="CI77" s="128"/>
      <c r="CJ77" s="129"/>
      <c r="CL77" s="132"/>
      <c r="CM77" s="128"/>
      <c r="CN77" s="129"/>
      <c r="CP77" s="132"/>
      <c r="CQ77" s="128"/>
      <c r="CR77" s="129"/>
      <c r="CT77" s="132"/>
      <c r="CU77" s="128"/>
      <c r="CV77" s="129"/>
      <c r="CX77" s="132"/>
      <c r="CY77" s="128"/>
      <c r="CZ77" s="129"/>
      <c r="DB77" s="132"/>
      <c r="DC77" s="128"/>
      <c r="DD77" s="129"/>
      <c r="DF77" s="132"/>
      <c r="DG77" s="85"/>
      <c r="DH77" s="85"/>
      <c r="DI77" s="84"/>
      <c r="DK77" s="84"/>
      <c r="DP77" s="84"/>
      <c r="DU77" s="84"/>
      <c r="DY77" s="84"/>
      <c r="EC77" s="84"/>
      <c r="EG77" s="84"/>
      <c r="EK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128"/>
      <c r="AA78" s="129"/>
      <c r="AC78" s="130"/>
      <c r="AD78" s="128"/>
      <c r="AE78" s="129"/>
      <c r="AG78" s="130"/>
      <c r="AH78" s="128"/>
      <c r="AI78" s="129"/>
      <c r="AK78" s="130"/>
      <c r="AL78" s="128"/>
      <c r="AM78" s="129"/>
      <c r="AO78" s="130"/>
      <c r="AP78" s="128"/>
      <c r="AQ78" s="129"/>
      <c r="AS78" s="130"/>
      <c r="AT78" s="128"/>
      <c r="AU78" s="129"/>
      <c r="AW78" s="130"/>
      <c r="AX78" s="85"/>
      <c r="AY78" s="84"/>
      <c r="AZ78" s="84"/>
      <c r="BA78" s="131"/>
      <c r="BB78" s="84"/>
      <c r="BE78" s="84"/>
      <c r="BI78" s="86"/>
      <c r="BO78" s="84"/>
      <c r="BT78" s="84"/>
      <c r="BY78" s="84"/>
      <c r="CD78" s="84"/>
      <c r="CI78" s="128"/>
      <c r="CJ78" s="129"/>
      <c r="CL78" s="132"/>
      <c r="CM78" s="128"/>
      <c r="CN78" s="129"/>
      <c r="CP78" s="132"/>
      <c r="CQ78" s="128"/>
      <c r="CR78" s="129"/>
      <c r="CT78" s="132"/>
      <c r="CU78" s="128"/>
      <c r="CV78" s="129"/>
      <c r="CX78" s="132"/>
      <c r="CY78" s="128"/>
      <c r="CZ78" s="129"/>
      <c r="DB78" s="132"/>
      <c r="DC78" s="128"/>
      <c r="DD78" s="129"/>
      <c r="DF78" s="132"/>
      <c r="DG78" s="85"/>
      <c r="DH78" s="85"/>
      <c r="DI78" s="84"/>
      <c r="DK78" s="84"/>
      <c r="DP78" s="84"/>
      <c r="DU78" s="84"/>
      <c r="DY78" s="84"/>
      <c r="EC78" s="84"/>
      <c r="EG78" s="84"/>
      <c r="EK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128"/>
      <c r="AA79" s="129"/>
      <c r="AC79" s="130"/>
      <c r="AD79" s="128"/>
      <c r="AE79" s="129"/>
      <c r="AG79" s="130"/>
      <c r="AH79" s="128"/>
      <c r="AI79" s="129"/>
      <c r="AK79" s="130"/>
      <c r="AL79" s="128"/>
      <c r="AM79" s="129"/>
      <c r="AO79" s="130"/>
      <c r="AP79" s="128"/>
      <c r="AQ79" s="129"/>
      <c r="AS79" s="130"/>
      <c r="AT79" s="128"/>
      <c r="AU79" s="129"/>
      <c r="AW79" s="130"/>
      <c r="AX79" s="85"/>
      <c r="AY79" s="84"/>
      <c r="AZ79" s="84"/>
      <c r="BA79" s="131"/>
      <c r="BB79" s="84"/>
      <c r="BE79" s="84"/>
      <c r="BI79" s="86"/>
      <c r="BO79" s="84"/>
      <c r="BT79" s="84"/>
      <c r="BY79" s="84"/>
      <c r="CD79" s="84"/>
      <c r="CI79" s="128"/>
      <c r="CJ79" s="129"/>
      <c r="CL79" s="132"/>
      <c r="CM79" s="128"/>
      <c r="CN79" s="129"/>
      <c r="CP79" s="132"/>
      <c r="CQ79" s="128"/>
      <c r="CR79" s="129"/>
      <c r="CT79" s="132"/>
      <c r="CU79" s="128"/>
      <c r="CV79" s="129"/>
      <c r="CX79" s="132"/>
      <c r="CY79" s="128"/>
      <c r="CZ79" s="129"/>
      <c r="DB79" s="132"/>
      <c r="DC79" s="128"/>
      <c r="DD79" s="129"/>
      <c r="DF79" s="132"/>
      <c r="DG79" s="85"/>
      <c r="DH79" s="85"/>
      <c r="DI79" s="84"/>
      <c r="DK79" s="84"/>
      <c r="DP79" s="84"/>
      <c r="DU79" s="84"/>
      <c r="DY79" s="84"/>
      <c r="EC79" s="84"/>
      <c r="EG79" s="84"/>
      <c r="EK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128"/>
      <c r="AA80" s="129"/>
      <c r="AC80" s="130"/>
      <c r="AD80" s="128"/>
      <c r="AE80" s="129"/>
      <c r="AG80" s="130"/>
      <c r="AH80" s="128"/>
      <c r="AI80" s="129"/>
      <c r="AK80" s="130"/>
      <c r="AL80" s="128"/>
      <c r="AM80" s="129"/>
      <c r="AO80" s="130"/>
      <c r="AP80" s="128"/>
      <c r="AQ80" s="129"/>
      <c r="AS80" s="130"/>
      <c r="AT80" s="128"/>
      <c r="AU80" s="129"/>
      <c r="AW80" s="130"/>
      <c r="AX80" s="85"/>
      <c r="AY80" s="84"/>
      <c r="AZ80" s="84"/>
      <c r="BA80" s="131"/>
      <c r="BB80" s="84"/>
      <c r="BE80" s="84"/>
      <c r="BI80" s="86"/>
      <c r="BO80" s="84"/>
      <c r="BT80" s="84"/>
      <c r="BY80" s="84"/>
      <c r="CD80" s="84"/>
      <c r="CI80" s="128"/>
      <c r="CJ80" s="129"/>
      <c r="CL80" s="132"/>
      <c r="CM80" s="128"/>
      <c r="CN80" s="129"/>
      <c r="CP80" s="132"/>
      <c r="CQ80" s="128"/>
      <c r="CR80" s="129"/>
      <c r="CT80" s="132"/>
      <c r="CU80" s="128"/>
      <c r="CV80" s="129"/>
      <c r="CX80" s="132"/>
      <c r="CY80" s="128"/>
      <c r="CZ80" s="129"/>
      <c r="DB80" s="132"/>
      <c r="DC80" s="128"/>
      <c r="DD80" s="129"/>
      <c r="DF80" s="132"/>
      <c r="DG80" s="85"/>
      <c r="DH80" s="85"/>
      <c r="DI80" s="84"/>
      <c r="DK80" s="84"/>
      <c r="DP80" s="84"/>
      <c r="DU80" s="84"/>
      <c r="DY80" s="84"/>
      <c r="EC80" s="84"/>
      <c r="EG80" s="84"/>
      <c r="EK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128"/>
      <c r="AA81" s="129"/>
      <c r="AC81" s="130"/>
      <c r="AD81" s="128"/>
      <c r="AE81" s="129"/>
      <c r="AG81" s="130"/>
      <c r="AH81" s="128"/>
      <c r="AI81" s="129"/>
      <c r="AK81" s="130"/>
      <c r="AL81" s="128"/>
      <c r="AM81" s="129"/>
      <c r="AO81" s="130"/>
      <c r="AP81" s="128"/>
      <c r="AQ81" s="129"/>
      <c r="AS81" s="130"/>
      <c r="AT81" s="128"/>
      <c r="AU81" s="129"/>
      <c r="AW81" s="130"/>
      <c r="AX81" s="85"/>
      <c r="AY81" s="84"/>
      <c r="AZ81" s="84"/>
      <c r="BA81" s="131"/>
      <c r="BB81" s="84"/>
      <c r="BE81" s="84"/>
      <c r="BI81" s="86"/>
      <c r="BO81" s="84"/>
      <c r="BT81" s="84"/>
      <c r="BY81" s="84"/>
      <c r="CD81" s="84"/>
      <c r="CI81" s="128"/>
      <c r="CJ81" s="129"/>
      <c r="CL81" s="132"/>
      <c r="CM81" s="128"/>
      <c r="CN81" s="129"/>
      <c r="CP81" s="132"/>
      <c r="CQ81" s="128"/>
      <c r="CR81" s="129"/>
      <c r="CT81" s="132"/>
      <c r="CU81" s="128"/>
      <c r="CV81" s="129"/>
      <c r="CX81" s="132"/>
      <c r="CY81" s="128"/>
      <c r="CZ81" s="129"/>
      <c r="DB81" s="132"/>
      <c r="DC81" s="128"/>
      <c r="DD81" s="129"/>
      <c r="DF81" s="132"/>
      <c r="DG81" s="85"/>
      <c r="DH81" s="85"/>
      <c r="DI81" s="84"/>
      <c r="DK81" s="84"/>
      <c r="DP81" s="84"/>
      <c r="DU81" s="84"/>
      <c r="DY81" s="84"/>
      <c r="EC81" s="84"/>
      <c r="EG81" s="84"/>
      <c r="EK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128"/>
      <c r="AA82" s="129"/>
      <c r="AC82" s="130"/>
      <c r="AD82" s="128"/>
      <c r="AE82" s="129"/>
      <c r="AG82" s="130"/>
      <c r="AH82" s="128"/>
      <c r="AI82" s="129"/>
      <c r="AK82" s="130"/>
      <c r="AL82" s="128"/>
      <c r="AM82" s="129"/>
      <c r="AO82" s="130"/>
      <c r="AP82" s="128"/>
      <c r="AQ82" s="129"/>
      <c r="AS82" s="130"/>
      <c r="AT82" s="128"/>
      <c r="AU82" s="129"/>
      <c r="AW82" s="130"/>
      <c r="AX82" s="85"/>
      <c r="AY82" s="84"/>
      <c r="AZ82" s="84"/>
      <c r="BA82" s="131"/>
      <c r="BB82" s="84"/>
      <c r="BE82" s="84"/>
      <c r="BI82" s="86"/>
      <c r="BO82" s="84"/>
      <c r="BT82" s="84"/>
      <c r="BY82" s="84"/>
      <c r="CD82" s="84"/>
      <c r="CI82" s="128"/>
      <c r="CJ82" s="129"/>
      <c r="CL82" s="132"/>
      <c r="CM82" s="128"/>
      <c r="CN82" s="129"/>
      <c r="CP82" s="132"/>
      <c r="CQ82" s="128"/>
      <c r="CR82" s="129"/>
      <c r="CT82" s="132"/>
      <c r="CU82" s="128"/>
      <c r="CV82" s="129"/>
      <c r="CX82" s="132"/>
      <c r="CY82" s="128"/>
      <c r="CZ82" s="129"/>
      <c r="DB82" s="132"/>
      <c r="DC82" s="128"/>
      <c r="DD82" s="129"/>
      <c r="DF82" s="132"/>
      <c r="DG82" s="85"/>
      <c r="DH82" s="85"/>
      <c r="DI82" s="84"/>
      <c r="DK82" s="84"/>
      <c r="DP82" s="84"/>
      <c r="DU82" s="84"/>
      <c r="DY82" s="84"/>
      <c r="EC82" s="84"/>
      <c r="EG82" s="84"/>
      <c r="EK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128"/>
      <c r="AA83" s="129"/>
      <c r="AC83" s="130"/>
      <c r="AD83" s="128"/>
      <c r="AE83" s="129"/>
      <c r="AG83" s="130"/>
      <c r="AH83" s="128"/>
      <c r="AI83" s="129"/>
      <c r="AK83" s="130"/>
      <c r="AL83" s="128"/>
      <c r="AM83" s="129"/>
      <c r="AO83" s="130"/>
      <c r="AP83" s="128"/>
      <c r="AQ83" s="129"/>
      <c r="AS83" s="130"/>
      <c r="AT83" s="128"/>
      <c r="AU83" s="129"/>
      <c r="AW83" s="130"/>
      <c r="AX83" s="85"/>
      <c r="AY83" s="84"/>
      <c r="AZ83" s="84"/>
      <c r="BA83" s="131"/>
      <c r="BB83" s="84"/>
      <c r="BE83" s="84"/>
      <c r="BI83" s="86"/>
      <c r="BO83" s="84"/>
      <c r="BT83" s="84"/>
      <c r="BY83" s="84"/>
      <c r="CD83" s="84"/>
      <c r="CI83" s="128"/>
      <c r="CJ83" s="129"/>
      <c r="CL83" s="132"/>
      <c r="CM83" s="128"/>
      <c r="CN83" s="129"/>
      <c r="CP83" s="132"/>
      <c r="CQ83" s="128"/>
      <c r="CR83" s="129"/>
      <c r="CT83" s="132"/>
      <c r="CU83" s="128"/>
      <c r="CV83" s="129"/>
      <c r="CX83" s="132"/>
      <c r="CY83" s="128"/>
      <c r="CZ83" s="129"/>
      <c r="DB83" s="132"/>
      <c r="DC83" s="128"/>
      <c r="DD83" s="129"/>
      <c r="DF83" s="132"/>
      <c r="DG83" s="85"/>
      <c r="DH83" s="85"/>
      <c r="DI83" s="84"/>
      <c r="DK83" s="84"/>
      <c r="DP83" s="84"/>
      <c r="DU83" s="84"/>
      <c r="DY83" s="84"/>
      <c r="EC83" s="84"/>
      <c r="EG83" s="84"/>
      <c r="EK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128"/>
      <c r="AA84" s="129"/>
      <c r="AC84" s="130"/>
      <c r="AD84" s="128"/>
      <c r="AE84" s="129"/>
      <c r="AG84" s="130"/>
      <c r="AH84" s="128"/>
      <c r="AI84" s="129"/>
      <c r="AK84" s="130"/>
      <c r="AL84" s="128"/>
      <c r="AM84" s="129"/>
      <c r="AO84" s="130"/>
      <c r="AP84" s="128"/>
      <c r="AQ84" s="129"/>
      <c r="AS84" s="130"/>
      <c r="AT84" s="128"/>
      <c r="AU84" s="129"/>
      <c r="AW84" s="130"/>
      <c r="AX84" s="85"/>
      <c r="AY84" s="84"/>
      <c r="AZ84" s="84"/>
      <c r="BA84" s="131"/>
      <c r="BB84" s="84"/>
      <c r="BE84" s="84"/>
      <c r="BI84" s="86"/>
      <c r="BO84" s="84"/>
      <c r="BT84" s="84"/>
      <c r="BY84" s="84"/>
      <c r="CD84" s="84"/>
      <c r="CI84" s="128"/>
      <c r="CJ84" s="129"/>
      <c r="CL84" s="132"/>
      <c r="CM84" s="128"/>
      <c r="CN84" s="129"/>
      <c r="CP84" s="132"/>
      <c r="CQ84" s="128"/>
      <c r="CR84" s="129"/>
      <c r="CT84" s="132"/>
      <c r="CU84" s="128"/>
      <c r="CV84" s="129"/>
      <c r="CX84" s="132"/>
      <c r="CY84" s="128"/>
      <c r="CZ84" s="129"/>
      <c r="DB84" s="132"/>
      <c r="DC84" s="128"/>
      <c r="DD84" s="129"/>
      <c r="DF84" s="132"/>
      <c r="DG84" s="85"/>
      <c r="DH84" s="85"/>
      <c r="DI84" s="84"/>
      <c r="DK84" s="84"/>
      <c r="DP84" s="84"/>
      <c r="DU84" s="84"/>
      <c r="DY84" s="84"/>
      <c r="EC84" s="84"/>
      <c r="EG84" s="84"/>
      <c r="EK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128"/>
      <c r="AA85" s="129"/>
      <c r="AC85" s="130"/>
      <c r="AD85" s="128"/>
      <c r="AE85" s="129"/>
      <c r="AG85" s="130"/>
      <c r="AH85" s="128"/>
      <c r="AI85" s="129"/>
      <c r="AK85" s="130"/>
      <c r="AL85" s="128"/>
      <c r="AM85" s="129"/>
      <c r="AO85" s="130"/>
      <c r="AP85" s="128"/>
      <c r="AQ85" s="129"/>
      <c r="AS85" s="130"/>
      <c r="AT85" s="128"/>
      <c r="AU85" s="129"/>
      <c r="AW85" s="130"/>
      <c r="AX85" s="85"/>
      <c r="AY85" s="84"/>
      <c r="AZ85" s="84"/>
      <c r="BA85" s="131"/>
      <c r="BB85" s="84"/>
      <c r="BE85" s="84"/>
      <c r="BI85" s="86"/>
      <c r="BO85" s="84"/>
      <c r="BT85" s="84"/>
      <c r="BY85" s="84"/>
      <c r="CD85" s="84"/>
      <c r="CI85" s="128"/>
      <c r="CJ85" s="129"/>
      <c r="CL85" s="132"/>
      <c r="CM85" s="128"/>
      <c r="CN85" s="129"/>
      <c r="CP85" s="132"/>
      <c r="CQ85" s="128"/>
      <c r="CR85" s="129"/>
      <c r="CT85" s="132"/>
      <c r="CU85" s="128"/>
      <c r="CV85" s="129"/>
      <c r="CX85" s="132"/>
      <c r="CY85" s="128"/>
      <c r="CZ85" s="129"/>
      <c r="DB85" s="132"/>
      <c r="DC85" s="128"/>
      <c r="DD85" s="129"/>
      <c r="DF85" s="132"/>
      <c r="DG85" s="85"/>
      <c r="DH85" s="85"/>
      <c r="DI85" s="84"/>
      <c r="DK85" s="84"/>
      <c r="DP85" s="84"/>
      <c r="DU85" s="84"/>
      <c r="DY85" s="84"/>
      <c r="EC85" s="84"/>
      <c r="EG85" s="84"/>
      <c r="EK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128"/>
      <c r="AA86" s="129"/>
      <c r="AC86" s="130"/>
      <c r="AD86" s="128"/>
      <c r="AE86" s="129"/>
      <c r="AG86" s="130"/>
      <c r="AH86" s="128"/>
      <c r="AI86" s="129"/>
      <c r="AK86" s="130"/>
      <c r="AL86" s="128"/>
      <c r="AM86" s="129"/>
      <c r="AO86" s="130"/>
      <c r="AP86" s="128"/>
      <c r="AQ86" s="129"/>
      <c r="AS86" s="130"/>
      <c r="AT86" s="128"/>
      <c r="AU86" s="129"/>
      <c r="AW86" s="130"/>
      <c r="AX86" s="85"/>
      <c r="AY86" s="84"/>
      <c r="AZ86" s="84"/>
      <c r="BA86" s="131"/>
      <c r="BB86" s="84"/>
      <c r="BE86" s="84"/>
      <c r="BI86" s="86"/>
      <c r="BO86" s="84"/>
      <c r="BT86" s="84"/>
      <c r="BY86" s="84"/>
      <c r="CD86" s="84"/>
      <c r="CI86" s="128"/>
      <c r="CJ86" s="129"/>
      <c r="CL86" s="132"/>
      <c r="CM86" s="128"/>
      <c r="CN86" s="129"/>
      <c r="CP86" s="132"/>
      <c r="CQ86" s="128"/>
      <c r="CR86" s="129"/>
      <c r="CT86" s="132"/>
      <c r="CU86" s="128"/>
      <c r="CV86" s="129"/>
      <c r="CX86" s="132"/>
      <c r="CY86" s="128"/>
      <c r="CZ86" s="129"/>
      <c r="DB86" s="132"/>
      <c r="DC86" s="128"/>
      <c r="DD86" s="129"/>
      <c r="DF86" s="132"/>
      <c r="DG86" s="85"/>
      <c r="DH86" s="85"/>
      <c r="DI86" s="84"/>
      <c r="DK86" s="84"/>
      <c r="DP86" s="84"/>
      <c r="DU86" s="84"/>
      <c r="DY86" s="84"/>
      <c r="EC86" s="84"/>
      <c r="EG86" s="84"/>
      <c r="EK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128"/>
      <c r="AA87" s="129"/>
      <c r="AC87" s="130"/>
      <c r="AD87" s="128"/>
      <c r="AE87" s="129"/>
      <c r="AG87" s="130"/>
      <c r="AH87" s="128"/>
      <c r="AI87" s="129"/>
      <c r="AK87" s="130"/>
      <c r="AL87" s="128"/>
      <c r="AM87" s="129"/>
      <c r="AO87" s="130"/>
      <c r="AP87" s="128"/>
      <c r="AQ87" s="129"/>
      <c r="AS87" s="130"/>
      <c r="AT87" s="128"/>
      <c r="AU87" s="129"/>
      <c r="AW87" s="130"/>
      <c r="AX87" s="85"/>
      <c r="AY87" s="84"/>
      <c r="AZ87" s="84"/>
      <c r="BA87" s="131"/>
      <c r="BB87" s="84"/>
      <c r="BE87" s="84"/>
      <c r="BI87" s="86"/>
      <c r="BO87" s="84"/>
      <c r="BT87" s="84"/>
      <c r="BY87" s="84"/>
      <c r="CD87" s="84"/>
      <c r="CI87" s="128"/>
      <c r="CJ87" s="129"/>
      <c r="CL87" s="132"/>
      <c r="CM87" s="128"/>
      <c r="CN87" s="129"/>
      <c r="CP87" s="132"/>
      <c r="CQ87" s="128"/>
      <c r="CR87" s="129"/>
      <c r="CT87" s="132"/>
      <c r="CU87" s="128"/>
      <c r="CV87" s="129"/>
      <c r="CX87" s="132"/>
      <c r="CY87" s="128"/>
      <c r="CZ87" s="129"/>
      <c r="DB87" s="132"/>
      <c r="DC87" s="128"/>
      <c r="DD87" s="129"/>
      <c r="DF87" s="132"/>
      <c r="DG87" s="85"/>
      <c r="DH87" s="85"/>
      <c r="DI87" s="84"/>
      <c r="DK87" s="84"/>
      <c r="DP87" s="84"/>
      <c r="DU87" s="84"/>
      <c r="DY87" s="84"/>
      <c r="EC87" s="84"/>
      <c r="EG87" s="84"/>
      <c r="EK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128"/>
      <c r="AA88" s="129"/>
      <c r="AC88" s="130"/>
      <c r="AD88" s="128"/>
      <c r="AE88" s="129"/>
      <c r="AG88" s="130"/>
      <c r="AH88" s="128"/>
      <c r="AI88" s="129"/>
      <c r="AK88" s="130"/>
      <c r="AL88" s="128"/>
      <c r="AM88" s="129"/>
      <c r="AO88" s="130"/>
      <c r="AP88" s="128"/>
      <c r="AQ88" s="129"/>
      <c r="AS88" s="130"/>
      <c r="AT88" s="128"/>
      <c r="AU88" s="129"/>
      <c r="AW88" s="130"/>
      <c r="AX88" s="85"/>
      <c r="AY88" s="84"/>
      <c r="AZ88" s="84"/>
      <c r="BA88" s="131"/>
      <c r="BB88" s="84"/>
      <c r="BE88" s="84"/>
      <c r="BI88" s="86"/>
      <c r="BO88" s="84"/>
      <c r="BT88" s="84"/>
      <c r="BY88" s="84"/>
      <c r="CD88" s="84"/>
      <c r="CI88" s="128"/>
      <c r="CJ88" s="129"/>
      <c r="CL88" s="132"/>
      <c r="CM88" s="128"/>
      <c r="CN88" s="129"/>
      <c r="CP88" s="132"/>
      <c r="CQ88" s="128"/>
      <c r="CR88" s="129"/>
      <c r="CT88" s="132"/>
      <c r="CU88" s="128"/>
      <c r="CV88" s="129"/>
      <c r="CX88" s="132"/>
      <c r="CY88" s="128"/>
      <c r="CZ88" s="129"/>
      <c r="DB88" s="132"/>
      <c r="DC88" s="128"/>
      <c r="DD88" s="129"/>
      <c r="DF88" s="132"/>
      <c r="DG88" s="85"/>
      <c r="DH88" s="85"/>
      <c r="DI88" s="84"/>
      <c r="DK88" s="84"/>
      <c r="DP88" s="84"/>
      <c r="DU88" s="84"/>
      <c r="DY88" s="84"/>
      <c r="EC88" s="84"/>
      <c r="EG88" s="84"/>
      <c r="EK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128"/>
      <c r="AA89" s="129"/>
      <c r="AC89" s="130"/>
      <c r="AD89" s="128"/>
      <c r="AE89" s="129"/>
      <c r="AG89" s="130"/>
      <c r="AH89" s="128"/>
      <c r="AI89" s="129"/>
      <c r="AK89" s="130"/>
      <c r="AL89" s="128"/>
      <c r="AM89" s="129"/>
      <c r="AO89" s="130"/>
      <c r="AP89" s="128"/>
      <c r="AQ89" s="129"/>
      <c r="AS89" s="130"/>
      <c r="AT89" s="128"/>
      <c r="AU89" s="129"/>
      <c r="AW89" s="130"/>
      <c r="AX89" s="85"/>
      <c r="AY89" s="84"/>
      <c r="AZ89" s="84"/>
      <c r="BA89" s="131"/>
      <c r="BB89" s="84"/>
      <c r="BE89" s="84"/>
      <c r="BI89" s="86"/>
      <c r="BO89" s="84"/>
      <c r="BT89" s="84"/>
      <c r="BY89" s="84"/>
      <c r="CD89" s="84"/>
      <c r="CI89" s="128"/>
      <c r="CJ89" s="129"/>
      <c r="CL89" s="132"/>
      <c r="CM89" s="128"/>
      <c r="CN89" s="129"/>
      <c r="CP89" s="132"/>
      <c r="CQ89" s="128"/>
      <c r="CR89" s="129"/>
      <c r="CT89" s="132"/>
      <c r="CU89" s="128"/>
      <c r="CV89" s="129"/>
      <c r="CX89" s="132"/>
      <c r="CY89" s="128"/>
      <c r="CZ89" s="129"/>
      <c r="DB89" s="132"/>
      <c r="DC89" s="128"/>
      <c r="DD89" s="129"/>
      <c r="DF89" s="132"/>
      <c r="DG89" s="85"/>
      <c r="DH89" s="85"/>
      <c r="DI89" s="84"/>
      <c r="DK89" s="84"/>
      <c r="DP89" s="84"/>
      <c r="DU89" s="84"/>
      <c r="DY89" s="84"/>
      <c r="EC89" s="84"/>
      <c r="EG89" s="84"/>
      <c r="EK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128"/>
      <c r="AA90" s="129"/>
      <c r="AC90" s="130"/>
      <c r="AD90" s="128"/>
      <c r="AE90" s="129"/>
      <c r="AG90" s="130"/>
      <c r="AH90" s="128"/>
      <c r="AI90" s="129"/>
      <c r="AK90" s="130"/>
      <c r="AL90" s="128"/>
      <c r="AM90" s="129"/>
      <c r="AO90" s="130"/>
      <c r="AP90" s="128"/>
      <c r="AQ90" s="129"/>
      <c r="AS90" s="130"/>
      <c r="AT90" s="128"/>
      <c r="AU90" s="129"/>
      <c r="AW90" s="130"/>
      <c r="AX90" s="85"/>
      <c r="AY90" s="84"/>
      <c r="AZ90" s="84"/>
      <c r="BA90" s="131"/>
      <c r="BB90" s="84"/>
      <c r="BE90" s="84"/>
      <c r="BI90" s="86"/>
      <c r="BO90" s="84"/>
      <c r="BT90" s="84"/>
      <c r="BY90" s="84"/>
      <c r="CD90" s="84"/>
      <c r="CI90" s="128"/>
      <c r="CJ90" s="129"/>
      <c r="CL90" s="132"/>
      <c r="CM90" s="128"/>
      <c r="CN90" s="129"/>
      <c r="CP90" s="132"/>
      <c r="CQ90" s="128"/>
      <c r="CR90" s="129"/>
      <c r="CT90" s="132"/>
      <c r="CU90" s="128"/>
      <c r="CV90" s="129"/>
      <c r="CX90" s="132"/>
      <c r="CY90" s="128"/>
      <c r="CZ90" s="129"/>
      <c r="DB90" s="132"/>
      <c r="DC90" s="128"/>
      <c r="DD90" s="129"/>
      <c r="DF90" s="132"/>
      <c r="DG90" s="85"/>
      <c r="DH90" s="85"/>
      <c r="DI90" s="84"/>
      <c r="DK90" s="84"/>
      <c r="DP90" s="84"/>
      <c r="DU90" s="84"/>
      <c r="DY90" s="84"/>
      <c r="EC90" s="84"/>
      <c r="EG90" s="84"/>
      <c r="EK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128"/>
      <c r="AA91" s="129"/>
      <c r="AC91" s="130"/>
      <c r="AD91" s="128"/>
      <c r="AE91" s="129"/>
      <c r="AG91" s="130"/>
      <c r="AH91" s="128"/>
      <c r="AI91" s="129"/>
      <c r="AK91" s="130"/>
      <c r="AL91" s="128"/>
      <c r="AM91" s="129"/>
      <c r="AO91" s="130"/>
      <c r="AP91" s="128"/>
      <c r="AQ91" s="129"/>
      <c r="AS91" s="130"/>
      <c r="AT91" s="128"/>
      <c r="AU91" s="129"/>
      <c r="AW91" s="130"/>
      <c r="AX91" s="85"/>
      <c r="AY91" s="84"/>
      <c r="AZ91" s="84"/>
      <c r="BA91" s="131"/>
      <c r="BB91" s="84"/>
      <c r="BE91" s="84"/>
      <c r="BI91" s="86"/>
      <c r="BO91" s="84"/>
      <c r="BT91" s="84"/>
      <c r="BY91" s="84"/>
      <c r="CD91" s="84"/>
      <c r="CI91" s="128"/>
      <c r="CJ91" s="129"/>
      <c r="CL91" s="132"/>
      <c r="CM91" s="128"/>
      <c r="CN91" s="129"/>
      <c r="CP91" s="132"/>
      <c r="CQ91" s="128"/>
      <c r="CR91" s="129"/>
      <c r="CT91" s="132"/>
      <c r="CU91" s="128"/>
      <c r="CV91" s="129"/>
      <c r="CX91" s="132"/>
      <c r="CY91" s="128"/>
      <c r="CZ91" s="129"/>
      <c r="DB91" s="132"/>
      <c r="DC91" s="128"/>
      <c r="DD91" s="129"/>
      <c r="DF91" s="132"/>
      <c r="DG91" s="85"/>
      <c r="DH91" s="85"/>
      <c r="DI91" s="84"/>
      <c r="DK91" s="84"/>
      <c r="DP91" s="84"/>
      <c r="DU91" s="84"/>
      <c r="DY91" s="84"/>
      <c r="EC91" s="84"/>
      <c r="EG91" s="84"/>
      <c r="EK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128"/>
      <c r="AA92" s="129"/>
      <c r="AC92" s="130"/>
      <c r="AD92" s="128"/>
      <c r="AE92" s="129"/>
      <c r="AG92" s="130"/>
      <c r="AH92" s="128"/>
      <c r="AI92" s="129"/>
      <c r="AK92" s="130"/>
      <c r="AL92" s="128"/>
      <c r="AM92" s="129"/>
      <c r="AO92" s="130"/>
      <c r="AP92" s="128"/>
      <c r="AQ92" s="129"/>
      <c r="AS92" s="130"/>
      <c r="AT92" s="128"/>
      <c r="AU92" s="129"/>
      <c r="AW92" s="130"/>
      <c r="AX92" s="85"/>
      <c r="AY92" s="84"/>
      <c r="AZ92" s="84"/>
      <c r="BA92" s="131"/>
      <c r="BB92" s="84"/>
      <c r="BE92" s="84"/>
      <c r="BI92" s="86"/>
      <c r="BO92" s="84"/>
      <c r="BT92" s="84"/>
      <c r="BY92" s="84"/>
      <c r="CD92" s="84"/>
      <c r="CI92" s="128"/>
      <c r="CJ92" s="129"/>
      <c r="CL92" s="132"/>
      <c r="CM92" s="128"/>
      <c r="CN92" s="129"/>
      <c r="CP92" s="132"/>
      <c r="CQ92" s="128"/>
      <c r="CR92" s="129"/>
      <c r="CT92" s="132"/>
      <c r="CU92" s="128"/>
      <c r="CV92" s="129"/>
      <c r="CX92" s="132"/>
      <c r="CY92" s="128"/>
      <c r="CZ92" s="129"/>
      <c r="DB92" s="132"/>
      <c r="DC92" s="128"/>
      <c r="DD92" s="129"/>
      <c r="DF92" s="132"/>
      <c r="DG92" s="85"/>
      <c r="DH92" s="85"/>
      <c r="DI92" s="84"/>
      <c r="DK92" s="84"/>
      <c r="DP92" s="84"/>
      <c r="DU92" s="84"/>
      <c r="DY92" s="84"/>
      <c r="EC92" s="84"/>
      <c r="EG92" s="84"/>
      <c r="EK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128"/>
      <c r="AA93" s="129"/>
      <c r="AC93" s="130"/>
      <c r="AD93" s="128"/>
      <c r="AE93" s="129"/>
      <c r="AG93" s="130"/>
      <c r="AH93" s="128"/>
      <c r="AI93" s="129"/>
      <c r="AK93" s="130"/>
      <c r="AL93" s="128"/>
      <c r="AM93" s="129"/>
      <c r="AO93" s="130"/>
      <c r="AP93" s="128"/>
      <c r="AQ93" s="129"/>
      <c r="AS93" s="130"/>
      <c r="AT93" s="128"/>
      <c r="AU93" s="129"/>
      <c r="AW93" s="130"/>
      <c r="AX93" s="85"/>
      <c r="AY93" s="84"/>
      <c r="AZ93" s="84"/>
      <c r="BA93" s="131"/>
      <c r="BB93" s="84"/>
      <c r="BE93" s="84"/>
      <c r="BI93" s="86"/>
      <c r="BO93" s="84"/>
      <c r="BT93" s="84"/>
      <c r="BY93" s="84"/>
      <c r="CD93" s="84"/>
      <c r="CI93" s="128"/>
      <c r="CJ93" s="129"/>
      <c r="CL93" s="132"/>
      <c r="CM93" s="128"/>
      <c r="CN93" s="129"/>
      <c r="CP93" s="132"/>
      <c r="CQ93" s="128"/>
      <c r="CR93" s="129"/>
      <c r="CT93" s="132"/>
      <c r="CU93" s="128"/>
      <c r="CV93" s="129"/>
      <c r="CX93" s="132"/>
      <c r="CY93" s="128"/>
      <c r="CZ93" s="129"/>
      <c r="DB93" s="132"/>
      <c r="DC93" s="128"/>
      <c r="DD93" s="129"/>
      <c r="DF93" s="132"/>
      <c r="DG93" s="85"/>
      <c r="DH93" s="85"/>
      <c r="DI93" s="84"/>
      <c r="DK93" s="84"/>
      <c r="DP93" s="84"/>
      <c r="DU93" s="84"/>
      <c r="DY93" s="84"/>
      <c r="EC93" s="84"/>
      <c r="EG93" s="84"/>
      <c r="EK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128"/>
      <c r="AA94" s="129"/>
      <c r="AC94" s="130"/>
      <c r="AD94" s="128"/>
      <c r="AE94" s="129"/>
      <c r="AG94" s="130"/>
      <c r="AH94" s="128"/>
      <c r="AI94" s="129"/>
      <c r="AK94" s="130"/>
      <c r="AL94" s="128"/>
      <c r="AM94" s="129"/>
      <c r="AO94" s="130"/>
      <c r="AP94" s="128"/>
      <c r="AQ94" s="129"/>
      <c r="AS94" s="130"/>
      <c r="AT94" s="128"/>
      <c r="AU94" s="129"/>
      <c r="AW94" s="130"/>
      <c r="AX94" s="85"/>
      <c r="AY94" s="84"/>
      <c r="AZ94" s="84"/>
      <c r="BA94" s="131"/>
      <c r="BB94" s="84"/>
      <c r="BE94" s="84"/>
      <c r="BI94" s="86"/>
      <c r="BO94" s="84"/>
      <c r="BT94" s="84"/>
      <c r="BY94" s="84"/>
      <c r="CD94" s="84"/>
      <c r="CI94" s="128"/>
      <c r="CJ94" s="129"/>
      <c r="CL94" s="132"/>
      <c r="CM94" s="128"/>
      <c r="CN94" s="129"/>
      <c r="CP94" s="132"/>
      <c r="CQ94" s="128"/>
      <c r="CR94" s="129"/>
      <c r="CT94" s="132"/>
      <c r="CU94" s="128"/>
      <c r="CV94" s="129"/>
      <c r="CX94" s="132"/>
      <c r="CY94" s="128"/>
      <c r="CZ94" s="129"/>
      <c r="DB94" s="132"/>
      <c r="DC94" s="128"/>
      <c r="DD94" s="129"/>
      <c r="DF94" s="132"/>
      <c r="DG94" s="85"/>
      <c r="DH94" s="85"/>
      <c r="DI94" s="84"/>
      <c r="DK94" s="84"/>
      <c r="DP94" s="84"/>
      <c r="DU94" s="84"/>
      <c r="DY94" s="84"/>
      <c r="EC94" s="84"/>
      <c r="EG94" s="84"/>
      <c r="EK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128"/>
      <c r="AA95" s="129"/>
      <c r="AC95" s="130"/>
      <c r="AD95" s="128"/>
      <c r="AE95" s="129"/>
      <c r="AG95" s="130"/>
      <c r="AH95" s="128"/>
      <c r="AI95" s="129"/>
      <c r="AK95" s="130"/>
      <c r="AL95" s="128"/>
      <c r="AM95" s="129"/>
      <c r="AO95" s="130"/>
      <c r="AP95" s="128"/>
      <c r="AQ95" s="129"/>
      <c r="AS95" s="130"/>
      <c r="AT95" s="128"/>
      <c r="AU95" s="129"/>
      <c r="AW95" s="130"/>
      <c r="AX95" s="85"/>
      <c r="AY95" s="84"/>
      <c r="AZ95" s="84"/>
      <c r="BA95" s="131"/>
      <c r="BB95" s="84"/>
      <c r="BE95" s="84"/>
      <c r="BI95" s="86"/>
      <c r="BO95" s="84"/>
      <c r="BT95" s="84"/>
      <c r="BY95" s="84"/>
      <c r="CD95" s="84"/>
      <c r="CI95" s="128"/>
      <c r="CJ95" s="129"/>
      <c r="CL95" s="132"/>
      <c r="CM95" s="128"/>
      <c r="CN95" s="129"/>
      <c r="CP95" s="132"/>
      <c r="CQ95" s="128"/>
      <c r="CR95" s="129"/>
      <c r="CT95" s="132"/>
      <c r="CU95" s="128"/>
      <c r="CV95" s="129"/>
      <c r="CX95" s="132"/>
      <c r="CY95" s="128"/>
      <c r="CZ95" s="129"/>
      <c r="DB95" s="132"/>
      <c r="DC95" s="128"/>
      <c r="DD95" s="129"/>
      <c r="DF95" s="132"/>
      <c r="DG95" s="85"/>
      <c r="DH95" s="85"/>
      <c r="DI95" s="84"/>
      <c r="DK95" s="84"/>
      <c r="DP95" s="84"/>
      <c r="DU95" s="84"/>
      <c r="DY95" s="84"/>
      <c r="EC95" s="84"/>
      <c r="EG95" s="84"/>
      <c r="EK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128"/>
      <c r="AA96" s="129"/>
      <c r="AC96" s="130"/>
      <c r="AD96" s="128"/>
      <c r="AE96" s="129"/>
      <c r="AG96" s="130"/>
      <c r="AH96" s="128"/>
      <c r="AI96" s="129"/>
      <c r="AK96" s="130"/>
      <c r="AL96" s="128"/>
      <c r="AM96" s="129"/>
      <c r="AO96" s="130"/>
      <c r="AP96" s="128"/>
      <c r="AQ96" s="129"/>
      <c r="AS96" s="130"/>
      <c r="AT96" s="128"/>
      <c r="AU96" s="129"/>
      <c r="AW96" s="130"/>
      <c r="AX96" s="85"/>
      <c r="AY96" s="84"/>
      <c r="AZ96" s="84"/>
      <c r="BA96" s="131"/>
      <c r="BB96" s="84"/>
      <c r="BE96" s="84"/>
      <c r="BI96" s="86"/>
      <c r="BO96" s="84"/>
      <c r="BT96" s="84"/>
      <c r="BY96" s="84"/>
      <c r="CD96" s="84"/>
      <c r="CI96" s="128"/>
      <c r="CJ96" s="129"/>
      <c r="CL96" s="132"/>
      <c r="CM96" s="128"/>
      <c r="CN96" s="129"/>
      <c r="CP96" s="132"/>
      <c r="CQ96" s="128"/>
      <c r="CR96" s="129"/>
      <c r="CT96" s="132"/>
      <c r="CU96" s="128"/>
      <c r="CV96" s="129"/>
      <c r="CX96" s="132"/>
      <c r="CY96" s="128"/>
      <c r="CZ96" s="129"/>
      <c r="DB96" s="132"/>
      <c r="DC96" s="128"/>
      <c r="DD96" s="129"/>
      <c r="DF96" s="132"/>
      <c r="DG96" s="85"/>
      <c r="DH96" s="85"/>
      <c r="DI96" s="84"/>
      <c r="DK96" s="84"/>
      <c r="DP96" s="84"/>
      <c r="DU96" s="84"/>
      <c r="DY96" s="84"/>
      <c r="EC96" s="84"/>
      <c r="EG96" s="84"/>
      <c r="EK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128"/>
      <c r="AA97" s="129"/>
      <c r="AC97" s="130"/>
      <c r="AD97" s="128"/>
      <c r="AE97" s="129"/>
      <c r="AG97" s="130"/>
      <c r="AH97" s="128"/>
      <c r="AI97" s="129"/>
      <c r="AK97" s="130"/>
      <c r="AL97" s="128"/>
      <c r="AM97" s="129"/>
      <c r="AO97" s="130"/>
      <c r="AP97" s="128"/>
      <c r="AQ97" s="129"/>
      <c r="AS97" s="130"/>
      <c r="AT97" s="128"/>
      <c r="AU97" s="129"/>
      <c r="AW97" s="130"/>
      <c r="AX97" s="85"/>
      <c r="AY97" s="84"/>
      <c r="AZ97" s="84"/>
      <c r="BA97" s="131"/>
      <c r="BB97" s="84"/>
      <c r="BE97" s="84"/>
      <c r="BI97" s="86"/>
      <c r="BO97" s="84"/>
      <c r="BT97" s="84"/>
      <c r="BY97" s="84"/>
      <c r="CD97" s="84"/>
      <c r="CI97" s="128"/>
      <c r="CJ97" s="129"/>
      <c r="CL97" s="132"/>
      <c r="CM97" s="128"/>
      <c r="CN97" s="129"/>
      <c r="CP97" s="132"/>
      <c r="CQ97" s="128"/>
      <c r="CR97" s="129"/>
      <c r="CT97" s="132"/>
      <c r="CU97" s="128"/>
      <c r="CV97" s="129"/>
      <c r="CX97" s="132"/>
      <c r="CY97" s="128"/>
      <c r="CZ97" s="129"/>
      <c r="DB97" s="132"/>
      <c r="DC97" s="128"/>
      <c r="DD97" s="129"/>
      <c r="DF97" s="132"/>
      <c r="DG97" s="85"/>
      <c r="DH97" s="85"/>
      <c r="DI97" s="84"/>
      <c r="DK97" s="84"/>
      <c r="DP97" s="84"/>
      <c r="DU97" s="84"/>
      <c r="DY97" s="84"/>
      <c r="EC97" s="84"/>
      <c r="EG97" s="84"/>
      <c r="EK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128"/>
      <c r="AA98" s="129"/>
      <c r="AC98" s="130"/>
      <c r="AD98" s="128"/>
      <c r="AE98" s="129"/>
      <c r="AG98" s="130"/>
      <c r="AH98" s="128"/>
      <c r="AI98" s="129"/>
      <c r="AK98" s="130"/>
      <c r="AL98" s="128"/>
      <c r="AM98" s="129"/>
      <c r="AO98" s="130"/>
      <c r="AP98" s="128"/>
      <c r="AQ98" s="129"/>
      <c r="AS98" s="130"/>
      <c r="AT98" s="128"/>
      <c r="AU98" s="129"/>
      <c r="AW98" s="130"/>
      <c r="AX98" s="85"/>
      <c r="AY98" s="84"/>
      <c r="AZ98" s="84"/>
      <c r="BA98" s="131"/>
      <c r="BB98" s="84"/>
      <c r="BE98" s="84"/>
      <c r="BI98" s="86"/>
      <c r="BO98" s="84"/>
      <c r="BT98" s="84"/>
      <c r="BY98" s="84"/>
      <c r="CD98" s="84"/>
      <c r="CI98" s="128"/>
      <c r="CJ98" s="129"/>
      <c r="CL98" s="132"/>
      <c r="CM98" s="128"/>
      <c r="CN98" s="129"/>
      <c r="CP98" s="132"/>
      <c r="CQ98" s="128"/>
      <c r="CR98" s="129"/>
      <c r="CT98" s="132"/>
      <c r="CU98" s="128"/>
      <c r="CV98" s="129"/>
      <c r="CX98" s="132"/>
      <c r="CY98" s="128"/>
      <c r="CZ98" s="129"/>
      <c r="DB98" s="132"/>
      <c r="DC98" s="128"/>
      <c r="DD98" s="129"/>
      <c r="DF98" s="132"/>
      <c r="DG98" s="85"/>
      <c r="DH98" s="85"/>
      <c r="DI98" s="84"/>
      <c r="DK98" s="84"/>
      <c r="DP98" s="84"/>
      <c r="DU98" s="84"/>
      <c r="DY98" s="84"/>
      <c r="EC98" s="84"/>
      <c r="EG98" s="84"/>
      <c r="EK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128"/>
      <c r="AA99" s="129"/>
      <c r="AC99" s="130"/>
      <c r="AD99" s="128"/>
      <c r="AE99" s="129"/>
      <c r="AG99" s="130"/>
      <c r="AH99" s="128"/>
      <c r="AI99" s="129"/>
      <c r="AK99" s="130"/>
      <c r="AL99" s="128"/>
      <c r="AM99" s="129"/>
      <c r="AO99" s="130"/>
      <c r="AP99" s="128"/>
      <c r="AQ99" s="129"/>
      <c r="AS99" s="130"/>
      <c r="AT99" s="128"/>
      <c r="AU99" s="129"/>
      <c r="AW99" s="130"/>
      <c r="AX99" s="85"/>
      <c r="AY99" s="84"/>
      <c r="AZ99" s="84"/>
      <c r="BA99" s="131"/>
      <c r="BB99" s="84"/>
      <c r="BE99" s="84"/>
      <c r="BI99" s="86"/>
      <c r="BO99" s="84"/>
      <c r="BT99" s="84"/>
      <c r="BY99" s="84"/>
      <c r="CD99" s="84"/>
      <c r="CI99" s="128"/>
      <c r="CJ99" s="129"/>
      <c r="CL99" s="132"/>
      <c r="CM99" s="128"/>
      <c r="CN99" s="129"/>
      <c r="CP99" s="132"/>
      <c r="CQ99" s="128"/>
      <c r="CR99" s="129"/>
      <c r="CT99" s="132"/>
      <c r="CU99" s="128"/>
      <c r="CV99" s="129"/>
      <c r="CX99" s="132"/>
      <c r="CY99" s="128"/>
      <c r="CZ99" s="129"/>
      <c r="DB99" s="132"/>
      <c r="DC99" s="128"/>
      <c r="DD99" s="129"/>
      <c r="DF99" s="132"/>
      <c r="DG99" s="85"/>
      <c r="DH99" s="85"/>
      <c r="DI99" s="84"/>
      <c r="DK99" s="84"/>
      <c r="DP99" s="84"/>
      <c r="DU99" s="84"/>
      <c r="DY99" s="84"/>
      <c r="EC99" s="84"/>
      <c r="EG99" s="84"/>
      <c r="EK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128"/>
      <c r="AA100" s="129"/>
      <c r="AC100" s="130"/>
      <c r="AD100" s="128"/>
      <c r="AE100" s="129"/>
      <c r="AG100" s="130"/>
      <c r="AH100" s="128"/>
      <c r="AI100" s="129"/>
      <c r="AK100" s="130"/>
      <c r="AL100" s="128"/>
      <c r="AM100" s="129"/>
      <c r="AO100" s="130"/>
      <c r="AP100" s="128"/>
      <c r="AQ100" s="129"/>
      <c r="AS100" s="130"/>
      <c r="AT100" s="128"/>
      <c r="AU100" s="129"/>
      <c r="AW100" s="130"/>
      <c r="AX100" s="85"/>
      <c r="AY100" s="84"/>
      <c r="AZ100" s="84"/>
      <c r="BA100" s="131"/>
      <c r="BB100" s="84"/>
      <c r="BE100" s="84"/>
      <c r="BI100" s="86"/>
      <c r="BO100" s="84"/>
      <c r="BT100" s="84"/>
      <c r="BY100" s="84"/>
      <c r="CD100" s="84"/>
      <c r="CI100" s="128"/>
      <c r="CJ100" s="129"/>
      <c r="CL100" s="132"/>
      <c r="CM100" s="128"/>
      <c r="CN100" s="129"/>
      <c r="CP100" s="132"/>
      <c r="CQ100" s="128"/>
      <c r="CR100" s="129"/>
      <c r="CT100" s="132"/>
      <c r="CU100" s="128"/>
      <c r="CV100" s="129"/>
      <c r="CX100" s="132"/>
      <c r="CY100" s="128"/>
      <c r="CZ100" s="129"/>
      <c r="DB100" s="132"/>
      <c r="DC100" s="128"/>
      <c r="DD100" s="129"/>
      <c r="DF100" s="132"/>
      <c r="DG100" s="85"/>
      <c r="DH100" s="85"/>
      <c r="DI100" s="84"/>
      <c r="DK100" s="84"/>
      <c r="DP100" s="84"/>
      <c r="DU100" s="84"/>
      <c r="DY100" s="84"/>
      <c r="EC100" s="84"/>
      <c r="EG100" s="84"/>
      <c r="EK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128"/>
      <c r="AA101" s="129"/>
      <c r="AC101" s="130"/>
      <c r="AD101" s="128"/>
      <c r="AE101" s="129"/>
      <c r="AG101" s="130"/>
      <c r="AH101" s="128"/>
      <c r="AI101" s="129"/>
      <c r="AK101" s="130"/>
      <c r="AL101" s="128"/>
      <c r="AM101" s="129"/>
      <c r="AO101" s="130"/>
      <c r="AP101" s="128"/>
      <c r="AQ101" s="129"/>
      <c r="AS101" s="130"/>
      <c r="AT101" s="128"/>
      <c r="AU101" s="129"/>
      <c r="AW101" s="130"/>
      <c r="AX101" s="85"/>
      <c r="AY101" s="84"/>
      <c r="AZ101" s="84"/>
      <c r="BA101" s="131"/>
      <c r="BB101" s="84"/>
      <c r="BE101" s="84"/>
      <c r="BI101" s="86"/>
      <c r="BO101" s="84"/>
      <c r="BT101" s="84"/>
      <c r="BY101" s="84"/>
      <c r="CD101" s="84"/>
      <c r="CI101" s="128"/>
      <c r="CJ101" s="129"/>
      <c r="CL101" s="132"/>
      <c r="CM101" s="128"/>
      <c r="CN101" s="129"/>
      <c r="CP101" s="132"/>
      <c r="CQ101" s="128"/>
      <c r="CR101" s="129"/>
      <c r="CT101" s="132"/>
      <c r="CU101" s="128"/>
      <c r="CV101" s="129"/>
      <c r="CX101" s="132"/>
      <c r="CY101" s="128"/>
      <c r="CZ101" s="129"/>
      <c r="DB101" s="132"/>
      <c r="DC101" s="128"/>
      <c r="DD101" s="129"/>
      <c r="DF101" s="132"/>
      <c r="DG101" s="85"/>
      <c r="DH101" s="85"/>
      <c r="DI101" s="84"/>
      <c r="DK101" s="84"/>
      <c r="DP101" s="84"/>
      <c r="DU101" s="84"/>
      <c r="DY101" s="84"/>
      <c r="EC101" s="84"/>
      <c r="EG101" s="84"/>
      <c r="EK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128"/>
      <c r="AA102" s="129"/>
      <c r="AC102" s="130"/>
      <c r="AD102" s="128"/>
      <c r="AE102" s="129"/>
      <c r="AG102" s="130"/>
      <c r="AH102" s="128"/>
      <c r="AI102" s="129"/>
      <c r="AK102" s="130"/>
      <c r="AL102" s="128"/>
      <c r="AM102" s="129"/>
      <c r="AO102" s="130"/>
      <c r="AP102" s="128"/>
      <c r="AQ102" s="129"/>
      <c r="AS102" s="130"/>
      <c r="AT102" s="128"/>
      <c r="AU102" s="129"/>
      <c r="AW102" s="130"/>
      <c r="AX102" s="85"/>
      <c r="AY102" s="84"/>
      <c r="AZ102" s="84"/>
      <c r="BA102" s="131"/>
      <c r="BB102" s="84"/>
      <c r="BE102" s="84"/>
      <c r="BI102" s="86"/>
      <c r="BO102" s="84"/>
      <c r="BT102" s="84"/>
      <c r="BY102" s="84"/>
      <c r="CD102" s="84"/>
      <c r="CI102" s="128"/>
      <c r="CJ102" s="129"/>
      <c r="CL102" s="132"/>
      <c r="CM102" s="128"/>
      <c r="CN102" s="129"/>
      <c r="CP102" s="132"/>
      <c r="CQ102" s="128"/>
      <c r="CR102" s="129"/>
      <c r="CT102" s="132"/>
      <c r="CU102" s="128"/>
      <c r="CV102" s="129"/>
      <c r="CX102" s="132"/>
      <c r="CY102" s="128"/>
      <c r="CZ102" s="129"/>
      <c r="DB102" s="132"/>
      <c r="DC102" s="128"/>
      <c r="DD102" s="129"/>
      <c r="DF102" s="132"/>
      <c r="DG102" s="85"/>
      <c r="DH102" s="85"/>
      <c r="DI102" s="84"/>
      <c r="DK102" s="84"/>
      <c r="DP102" s="84"/>
      <c r="DU102" s="84"/>
      <c r="DY102" s="84"/>
      <c r="EC102" s="84"/>
      <c r="EG102" s="84"/>
      <c r="EK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128"/>
      <c r="AA103" s="129"/>
      <c r="AC103" s="130"/>
      <c r="AD103" s="128"/>
      <c r="AE103" s="129"/>
      <c r="AG103" s="130"/>
      <c r="AH103" s="128"/>
      <c r="AI103" s="129"/>
      <c r="AK103" s="130"/>
      <c r="AL103" s="128"/>
      <c r="AM103" s="129"/>
      <c r="AO103" s="130"/>
      <c r="AP103" s="128"/>
      <c r="AQ103" s="129"/>
      <c r="AS103" s="130"/>
      <c r="AT103" s="128"/>
      <c r="AU103" s="129"/>
      <c r="AW103" s="130"/>
      <c r="AX103" s="85"/>
      <c r="AY103" s="84"/>
      <c r="AZ103" s="84"/>
      <c r="BA103" s="131"/>
      <c r="BB103" s="84"/>
      <c r="BE103" s="84"/>
      <c r="BI103" s="86"/>
      <c r="BO103" s="84"/>
      <c r="BT103" s="84"/>
      <c r="BY103" s="84"/>
      <c r="CD103" s="84"/>
      <c r="CI103" s="128"/>
      <c r="CJ103" s="129"/>
      <c r="CL103" s="132"/>
      <c r="CM103" s="128"/>
      <c r="CN103" s="129"/>
      <c r="CP103" s="132"/>
      <c r="CQ103" s="128"/>
      <c r="CR103" s="129"/>
      <c r="CT103" s="132"/>
      <c r="CU103" s="128"/>
      <c r="CV103" s="129"/>
      <c r="CX103" s="132"/>
      <c r="CY103" s="128"/>
      <c r="CZ103" s="129"/>
      <c r="DB103" s="132"/>
      <c r="DC103" s="128"/>
      <c r="DD103" s="129"/>
      <c r="DF103" s="132"/>
      <c r="DG103" s="85"/>
      <c r="DH103" s="85"/>
      <c r="DI103" s="84"/>
      <c r="DK103" s="84"/>
      <c r="DP103" s="84"/>
      <c r="DU103" s="84"/>
      <c r="DY103" s="84"/>
      <c r="EC103" s="84"/>
      <c r="EG103" s="84"/>
      <c r="EK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128"/>
      <c r="AA104" s="129"/>
      <c r="AC104" s="130"/>
      <c r="AD104" s="128"/>
      <c r="AE104" s="129"/>
      <c r="AG104" s="130"/>
      <c r="AH104" s="128"/>
      <c r="AI104" s="129"/>
      <c r="AK104" s="130"/>
      <c r="AL104" s="128"/>
      <c r="AM104" s="129"/>
      <c r="AO104" s="130"/>
      <c r="AP104" s="128"/>
      <c r="AQ104" s="129"/>
      <c r="AS104" s="130"/>
      <c r="AT104" s="128"/>
      <c r="AU104" s="129"/>
      <c r="AW104" s="130"/>
      <c r="AX104" s="85"/>
      <c r="AY104" s="84"/>
      <c r="AZ104" s="84"/>
      <c r="BA104" s="131"/>
      <c r="BB104" s="84"/>
      <c r="BE104" s="84"/>
      <c r="BI104" s="86"/>
      <c r="BO104" s="84"/>
      <c r="BT104" s="84"/>
      <c r="BY104" s="84"/>
      <c r="CD104" s="84"/>
      <c r="CI104" s="128"/>
      <c r="CJ104" s="129"/>
      <c r="CL104" s="132"/>
      <c r="CM104" s="128"/>
      <c r="CN104" s="129"/>
      <c r="CP104" s="132"/>
      <c r="CQ104" s="128"/>
      <c r="CR104" s="129"/>
      <c r="CT104" s="132"/>
      <c r="CU104" s="128"/>
      <c r="CV104" s="129"/>
      <c r="CX104" s="132"/>
      <c r="CY104" s="128"/>
      <c r="CZ104" s="129"/>
      <c r="DB104" s="132"/>
      <c r="DC104" s="128"/>
      <c r="DD104" s="129"/>
      <c r="DF104" s="132"/>
      <c r="DG104" s="85"/>
      <c r="DH104" s="85"/>
      <c r="DI104" s="84"/>
      <c r="DK104" s="84"/>
      <c r="DP104" s="84"/>
      <c r="DU104" s="84"/>
      <c r="DY104" s="84"/>
      <c r="EC104" s="84"/>
      <c r="EG104" s="84"/>
      <c r="EK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128"/>
      <c r="AA105" s="129"/>
      <c r="AC105" s="130"/>
      <c r="AD105" s="128"/>
      <c r="AE105" s="129"/>
      <c r="AG105" s="130"/>
      <c r="AH105" s="128"/>
      <c r="AI105" s="129"/>
      <c r="AK105" s="130"/>
      <c r="AL105" s="128"/>
      <c r="AM105" s="129"/>
      <c r="AO105" s="130"/>
      <c r="AP105" s="128"/>
      <c r="AQ105" s="129"/>
      <c r="AS105" s="130"/>
      <c r="AT105" s="128"/>
      <c r="AU105" s="129"/>
      <c r="AW105" s="130"/>
      <c r="AX105" s="85"/>
      <c r="AY105" s="84"/>
      <c r="AZ105" s="84"/>
      <c r="BA105" s="131"/>
      <c r="BB105" s="84"/>
      <c r="BE105" s="84"/>
      <c r="BI105" s="86"/>
      <c r="BO105" s="84"/>
      <c r="BT105" s="84"/>
      <c r="BY105" s="84"/>
      <c r="CD105" s="84"/>
      <c r="CI105" s="128"/>
      <c r="CJ105" s="129"/>
      <c r="CL105" s="132"/>
      <c r="CM105" s="128"/>
      <c r="CN105" s="129"/>
      <c r="CP105" s="132"/>
      <c r="CQ105" s="128"/>
      <c r="CR105" s="129"/>
      <c r="CT105" s="132"/>
      <c r="CU105" s="128"/>
      <c r="CV105" s="129"/>
      <c r="CX105" s="132"/>
      <c r="CY105" s="128"/>
      <c r="CZ105" s="129"/>
      <c r="DB105" s="132"/>
      <c r="DC105" s="128"/>
      <c r="DD105" s="129"/>
      <c r="DF105" s="132"/>
      <c r="DG105" s="85"/>
      <c r="DH105" s="85"/>
      <c r="DI105" s="84"/>
      <c r="DK105" s="84"/>
      <c r="DP105" s="84"/>
      <c r="DU105" s="84"/>
      <c r="DY105" s="84"/>
      <c r="EC105" s="84"/>
      <c r="EG105" s="84"/>
      <c r="EK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128"/>
      <c r="AA106" s="129"/>
      <c r="AC106" s="130"/>
      <c r="AD106" s="128"/>
      <c r="AE106" s="129"/>
      <c r="AG106" s="130"/>
      <c r="AH106" s="128"/>
      <c r="AI106" s="129"/>
      <c r="AK106" s="130"/>
      <c r="AL106" s="128"/>
      <c r="AM106" s="129"/>
      <c r="AO106" s="130"/>
      <c r="AP106" s="128"/>
      <c r="AQ106" s="129"/>
      <c r="AS106" s="130"/>
      <c r="AT106" s="128"/>
      <c r="AU106" s="129"/>
      <c r="AW106" s="130"/>
      <c r="AX106" s="85"/>
      <c r="AY106" s="84"/>
      <c r="AZ106" s="84"/>
      <c r="BA106" s="131"/>
      <c r="BB106" s="84"/>
      <c r="BE106" s="84"/>
      <c r="BI106" s="86"/>
      <c r="BO106" s="84"/>
      <c r="BT106" s="84"/>
      <c r="BY106" s="84"/>
      <c r="CD106" s="84"/>
      <c r="CI106" s="128"/>
      <c r="CJ106" s="129"/>
      <c r="CL106" s="132"/>
      <c r="CM106" s="128"/>
      <c r="CN106" s="129"/>
      <c r="CP106" s="132"/>
      <c r="CQ106" s="128"/>
      <c r="CR106" s="129"/>
      <c r="CT106" s="132"/>
      <c r="CU106" s="128"/>
      <c r="CV106" s="129"/>
      <c r="CX106" s="132"/>
      <c r="CY106" s="128"/>
      <c r="CZ106" s="129"/>
      <c r="DB106" s="132"/>
      <c r="DC106" s="128"/>
      <c r="DD106" s="129"/>
      <c r="DF106" s="132"/>
      <c r="DG106" s="85"/>
      <c r="DH106" s="85"/>
      <c r="DI106" s="84"/>
      <c r="DK106" s="84"/>
      <c r="DP106" s="84"/>
      <c r="DU106" s="84"/>
      <c r="DY106" s="84"/>
      <c r="EC106" s="84"/>
      <c r="EG106" s="84"/>
      <c r="EK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128"/>
      <c r="AA107" s="129"/>
      <c r="AC107" s="130"/>
      <c r="AD107" s="128"/>
      <c r="AE107" s="129"/>
      <c r="AG107" s="130"/>
      <c r="AH107" s="128"/>
      <c r="AI107" s="129"/>
      <c r="AK107" s="130"/>
      <c r="AL107" s="128"/>
      <c r="AM107" s="129"/>
      <c r="AO107" s="130"/>
      <c r="AP107" s="128"/>
      <c r="AQ107" s="129"/>
      <c r="AS107" s="130"/>
      <c r="AT107" s="128"/>
      <c r="AU107" s="129"/>
      <c r="AW107" s="130"/>
      <c r="AX107" s="85"/>
      <c r="AY107" s="84"/>
      <c r="AZ107" s="84"/>
      <c r="BA107" s="131"/>
      <c r="BB107" s="84"/>
      <c r="BE107" s="84"/>
      <c r="BI107" s="86"/>
      <c r="BO107" s="84"/>
      <c r="BT107" s="84"/>
      <c r="BY107" s="84"/>
      <c r="CD107" s="84"/>
      <c r="CI107" s="128"/>
      <c r="CJ107" s="129"/>
      <c r="CL107" s="132"/>
      <c r="CM107" s="128"/>
      <c r="CN107" s="129"/>
      <c r="CP107" s="132"/>
      <c r="CQ107" s="128"/>
      <c r="CR107" s="129"/>
      <c r="CT107" s="132"/>
      <c r="CU107" s="128"/>
      <c r="CV107" s="129"/>
      <c r="CX107" s="132"/>
      <c r="CY107" s="128"/>
      <c r="CZ107" s="129"/>
      <c r="DB107" s="132"/>
      <c r="DC107" s="128"/>
      <c r="DD107" s="129"/>
      <c r="DF107" s="132"/>
      <c r="DG107" s="85"/>
      <c r="DH107" s="85"/>
      <c r="DI107" s="84"/>
      <c r="DK107" s="84"/>
      <c r="DP107" s="84"/>
      <c r="DU107" s="84"/>
      <c r="DY107" s="84"/>
      <c r="EC107" s="84"/>
      <c r="EG107" s="84"/>
      <c r="EK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128"/>
      <c r="AA108" s="129"/>
      <c r="AC108" s="130"/>
      <c r="AD108" s="128"/>
      <c r="AE108" s="129"/>
      <c r="AG108" s="130"/>
      <c r="AH108" s="128"/>
      <c r="AI108" s="129"/>
      <c r="AK108" s="130"/>
      <c r="AL108" s="128"/>
      <c r="AM108" s="129"/>
      <c r="AO108" s="130"/>
      <c r="AP108" s="128"/>
      <c r="AQ108" s="129"/>
      <c r="AS108" s="130"/>
      <c r="AT108" s="128"/>
      <c r="AU108" s="129"/>
      <c r="AW108" s="130"/>
      <c r="AX108" s="85"/>
      <c r="AY108" s="84"/>
      <c r="AZ108" s="84"/>
      <c r="BA108" s="131"/>
      <c r="BB108" s="84"/>
      <c r="BE108" s="84"/>
      <c r="BI108" s="86"/>
      <c r="BO108" s="84"/>
      <c r="BT108" s="84"/>
      <c r="BY108" s="84"/>
      <c r="CD108" s="84"/>
      <c r="CI108" s="128"/>
      <c r="CJ108" s="129"/>
      <c r="CL108" s="132"/>
      <c r="CM108" s="128"/>
      <c r="CN108" s="129"/>
      <c r="CP108" s="132"/>
      <c r="CQ108" s="128"/>
      <c r="CR108" s="129"/>
      <c r="CT108" s="132"/>
      <c r="CU108" s="128"/>
      <c r="CV108" s="129"/>
      <c r="CX108" s="132"/>
      <c r="CY108" s="128"/>
      <c r="CZ108" s="129"/>
      <c r="DB108" s="132"/>
      <c r="DC108" s="128"/>
      <c r="DD108" s="129"/>
      <c r="DF108" s="132"/>
      <c r="DG108" s="85"/>
      <c r="DH108" s="85"/>
      <c r="DI108" s="84"/>
      <c r="DK108" s="84"/>
      <c r="DP108" s="84"/>
      <c r="DU108" s="84"/>
      <c r="DY108" s="84"/>
      <c r="EC108" s="84"/>
      <c r="EG108" s="84"/>
      <c r="EK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128"/>
      <c r="AA109" s="129"/>
      <c r="AC109" s="130"/>
      <c r="AD109" s="128"/>
      <c r="AE109" s="129"/>
      <c r="AG109" s="130"/>
      <c r="AH109" s="128"/>
      <c r="AI109" s="129"/>
      <c r="AK109" s="130"/>
      <c r="AL109" s="128"/>
      <c r="AM109" s="129"/>
      <c r="AO109" s="130"/>
      <c r="AP109" s="128"/>
      <c r="AQ109" s="129"/>
      <c r="AS109" s="130"/>
      <c r="AT109" s="128"/>
      <c r="AU109" s="129"/>
      <c r="AW109" s="130"/>
      <c r="AX109" s="85"/>
      <c r="AY109" s="84"/>
      <c r="AZ109" s="84"/>
      <c r="BA109" s="131"/>
      <c r="BB109" s="84"/>
      <c r="BE109" s="84"/>
      <c r="BI109" s="86"/>
      <c r="BO109" s="84"/>
      <c r="BT109" s="84"/>
      <c r="BY109" s="84"/>
      <c r="CD109" s="84"/>
      <c r="CI109" s="128"/>
      <c r="CJ109" s="129"/>
      <c r="CL109" s="132"/>
      <c r="CM109" s="128"/>
      <c r="CN109" s="129"/>
      <c r="CP109" s="132"/>
      <c r="CQ109" s="128"/>
      <c r="CR109" s="129"/>
      <c r="CT109" s="132"/>
      <c r="CU109" s="128"/>
      <c r="CV109" s="129"/>
      <c r="CX109" s="132"/>
      <c r="CY109" s="128"/>
      <c r="CZ109" s="129"/>
      <c r="DB109" s="132"/>
      <c r="DC109" s="128"/>
      <c r="DD109" s="129"/>
      <c r="DF109" s="132"/>
      <c r="DG109" s="85"/>
      <c r="DH109" s="85"/>
      <c r="DI109" s="84"/>
      <c r="DK109" s="84"/>
      <c r="DP109" s="84"/>
      <c r="DU109" s="84"/>
      <c r="DY109" s="84"/>
      <c r="EC109" s="84"/>
      <c r="EG109" s="84"/>
      <c r="EK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128"/>
      <c r="AA110" s="129"/>
      <c r="AC110" s="130"/>
      <c r="AD110" s="128"/>
      <c r="AE110" s="129"/>
      <c r="AG110" s="130"/>
      <c r="AH110" s="128"/>
      <c r="AI110" s="129"/>
      <c r="AK110" s="130"/>
      <c r="AL110" s="128"/>
      <c r="AM110" s="129"/>
      <c r="AO110" s="130"/>
      <c r="AP110" s="128"/>
      <c r="AQ110" s="129"/>
      <c r="AS110" s="130"/>
      <c r="AT110" s="128"/>
      <c r="AU110" s="129"/>
      <c r="AW110" s="130"/>
      <c r="AX110" s="85"/>
      <c r="AY110" s="84"/>
      <c r="AZ110" s="84"/>
      <c r="BA110" s="131"/>
      <c r="BB110" s="84"/>
      <c r="BE110" s="84"/>
      <c r="BI110" s="86"/>
      <c r="BO110" s="84"/>
      <c r="BT110" s="84"/>
      <c r="BY110" s="84"/>
      <c r="CD110" s="84"/>
      <c r="CI110" s="128"/>
      <c r="CJ110" s="129"/>
      <c r="CL110" s="132"/>
      <c r="CM110" s="128"/>
      <c r="CN110" s="129"/>
      <c r="CP110" s="132"/>
      <c r="CQ110" s="128"/>
      <c r="CR110" s="129"/>
      <c r="CT110" s="132"/>
      <c r="CU110" s="128"/>
      <c r="CV110" s="129"/>
      <c r="CX110" s="132"/>
      <c r="CY110" s="128"/>
      <c r="CZ110" s="129"/>
      <c r="DB110" s="132"/>
      <c r="DC110" s="128"/>
      <c r="DD110" s="129"/>
      <c r="DF110" s="132"/>
      <c r="DG110" s="85"/>
      <c r="DH110" s="85"/>
      <c r="DI110" s="84"/>
      <c r="DK110" s="84"/>
      <c r="DP110" s="84"/>
      <c r="DU110" s="84"/>
      <c r="DY110" s="84"/>
      <c r="EC110" s="84"/>
      <c r="EG110" s="84"/>
      <c r="EK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128"/>
      <c r="AA111" s="129"/>
      <c r="AC111" s="130"/>
      <c r="AD111" s="128"/>
      <c r="AE111" s="129"/>
      <c r="AG111" s="130"/>
      <c r="AH111" s="128"/>
      <c r="AI111" s="129"/>
      <c r="AK111" s="130"/>
      <c r="AL111" s="128"/>
      <c r="AM111" s="129"/>
      <c r="AO111" s="130"/>
      <c r="AP111" s="128"/>
      <c r="AQ111" s="129"/>
      <c r="AS111" s="130"/>
      <c r="AT111" s="128"/>
      <c r="AU111" s="129"/>
      <c r="AW111" s="130"/>
      <c r="AX111" s="85"/>
      <c r="AY111" s="84"/>
      <c r="AZ111" s="84"/>
      <c r="BA111" s="131"/>
      <c r="BB111" s="84"/>
      <c r="BE111" s="84"/>
      <c r="BI111" s="86"/>
      <c r="BO111" s="84"/>
      <c r="BT111" s="84"/>
      <c r="BY111" s="84"/>
      <c r="CD111" s="84"/>
      <c r="CI111" s="128"/>
      <c r="CJ111" s="129"/>
      <c r="CL111" s="132"/>
      <c r="CM111" s="128"/>
      <c r="CN111" s="129"/>
      <c r="CP111" s="132"/>
      <c r="CQ111" s="128"/>
      <c r="CR111" s="129"/>
      <c r="CT111" s="132"/>
      <c r="CU111" s="128"/>
      <c r="CV111" s="129"/>
      <c r="CX111" s="132"/>
      <c r="CY111" s="128"/>
      <c r="CZ111" s="129"/>
      <c r="DB111" s="132"/>
      <c r="DC111" s="128"/>
      <c r="DD111" s="129"/>
      <c r="DF111" s="132"/>
      <c r="DG111" s="85"/>
      <c r="DH111" s="85"/>
      <c r="DI111" s="84"/>
      <c r="DK111" s="84"/>
      <c r="DP111" s="84"/>
      <c r="DU111" s="84"/>
      <c r="DY111" s="84"/>
      <c r="EC111" s="84"/>
      <c r="EG111" s="84"/>
      <c r="EK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128"/>
      <c r="AA112" s="129"/>
      <c r="AC112" s="130"/>
      <c r="AD112" s="128"/>
      <c r="AE112" s="129"/>
      <c r="AG112" s="130"/>
      <c r="AH112" s="128"/>
      <c r="AI112" s="129"/>
      <c r="AK112" s="130"/>
      <c r="AL112" s="128"/>
      <c r="AM112" s="129"/>
      <c r="AO112" s="130"/>
      <c r="AP112" s="128"/>
      <c r="AQ112" s="129"/>
      <c r="AS112" s="130"/>
      <c r="AT112" s="128"/>
      <c r="AU112" s="129"/>
      <c r="AW112" s="130"/>
      <c r="AX112" s="85"/>
      <c r="AY112" s="84"/>
      <c r="AZ112" s="84"/>
      <c r="BA112" s="131"/>
      <c r="BB112" s="84"/>
      <c r="BE112" s="84"/>
      <c r="BI112" s="86"/>
      <c r="BO112" s="84"/>
      <c r="BT112" s="84"/>
      <c r="BY112" s="84"/>
      <c r="CD112" s="84"/>
      <c r="CI112" s="128"/>
      <c r="CJ112" s="129"/>
      <c r="CL112" s="132"/>
      <c r="CM112" s="128"/>
      <c r="CN112" s="129"/>
      <c r="CP112" s="132"/>
      <c r="CQ112" s="128"/>
      <c r="CR112" s="129"/>
      <c r="CT112" s="132"/>
      <c r="CU112" s="128"/>
      <c r="CV112" s="129"/>
      <c r="CX112" s="132"/>
      <c r="CY112" s="128"/>
      <c r="CZ112" s="129"/>
      <c r="DB112" s="132"/>
      <c r="DC112" s="128"/>
      <c r="DD112" s="129"/>
      <c r="DF112" s="132"/>
      <c r="DG112" s="85"/>
      <c r="DH112" s="85"/>
      <c r="DI112" s="84"/>
      <c r="DK112" s="84"/>
      <c r="DP112" s="84"/>
      <c r="DU112" s="84"/>
      <c r="DY112" s="84"/>
      <c r="EC112" s="84"/>
      <c r="EG112" s="84"/>
      <c r="EK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128"/>
      <c r="AA113" s="129"/>
      <c r="AC113" s="130"/>
      <c r="AD113" s="128"/>
      <c r="AE113" s="129"/>
      <c r="AG113" s="130"/>
      <c r="AH113" s="128"/>
      <c r="AI113" s="129"/>
      <c r="AK113" s="130"/>
      <c r="AL113" s="128"/>
      <c r="AM113" s="129"/>
      <c r="AO113" s="130"/>
      <c r="AP113" s="128"/>
      <c r="AQ113" s="129"/>
      <c r="AS113" s="130"/>
      <c r="AT113" s="128"/>
      <c r="AU113" s="129"/>
      <c r="AW113" s="130"/>
      <c r="AX113" s="85"/>
      <c r="AY113" s="84"/>
      <c r="AZ113" s="84"/>
      <c r="BA113" s="131"/>
      <c r="BB113" s="84"/>
      <c r="BE113" s="84"/>
      <c r="BI113" s="86"/>
      <c r="BO113" s="84"/>
      <c r="BT113" s="84"/>
      <c r="BY113" s="84"/>
      <c r="CD113" s="84"/>
      <c r="CI113" s="128"/>
      <c r="CJ113" s="129"/>
      <c r="CL113" s="132"/>
      <c r="CM113" s="128"/>
      <c r="CN113" s="129"/>
      <c r="CP113" s="132"/>
      <c r="CQ113" s="128"/>
      <c r="CR113" s="129"/>
      <c r="CT113" s="132"/>
      <c r="CU113" s="128"/>
      <c r="CV113" s="129"/>
      <c r="CX113" s="132"/>
      <c r="CY113" s="128"/>
      <c r="CZ113" s="129"/>
      <c r="DB113" s="132"/>
      <c r="DC113" s="128"/>
      <c r="DD113" s="129"/>
      <c r="DF113" s="132"/>
      <c r="DG113" s="85"/>
      <c r="DH113" s="85"/>
      <c r="DI113" s="84"/>
      <c r="DK113" s="84"/>
      <c r="DP113" s="84"/>
      <c r="DU113" s="84"/>
      <c r="DY113" s="84"/>
      <c r="EC113" s="84"/>
      <c r="EG113" s="84"/>
      <c r="EK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128"/>
      <c r="AA114" s="129"/>
      <c r="AC114" s="130"/>
      <c r="AD114" s="128"/>
      <c r="AE114" s="129"/>
      <c r="AG114" s="130"/>
      <c r="AH114" s="128"/>
      <c r="AI114" s="129"/>
      <c r="AK114" s="130"/>
      <c r="AL114" s="128"/>
      <c r="AM114" s="129"/>
      <c r="AO114" s="130"/>
      <c r="AP114" s="128"/>
      <c r="AQ114" s="129"/>
      <c r="AS114" s="130"/>
      <c r="AT114" s="128"/>
      <c r="AU114" s="129"/>
      <c r="AW114" s="130"/>
      <c r="AX114" s="85"/>
      <c r="AY114" s="84"/>
      <c r="AZ114" s="84"/>
      <c r="BA114" s="131"/>
      <c r="BB114" s="84"/>
      <c r="BE114" s="84"/>
      <c r="BI114" s="86"/>
      <c r="BO114" s="84"/>
      <c r="BT114" s="84"/>
      <c r="BY114" s="84"/>
      <c r="CD114" s="84"/>
      <c r="CI114" s="128"/>
      <c r="CJ114" s="129"/>
      <c r="CL114" s="132"/>
      <c r="CM114" s="128"/>
      <c r="CN114" s="129"/>
      <c r="CP114" s="132"/>
      <c r="CQ114" s="128"/>
      <c r="CR114" s="129"/>
      <c r="CT114" s="132"/>
      <c r="CU114" s="128"/>
      <c r="CV114" s="129"/>
      <c r="CX114" s="132"/>
      <c r="CY114" s="128"/>
      <c r="CZ114" s="129"/>
      <c r="DB114" s="132"/>
      <c r="DC114" s="128"/>
      <c r="DD114" s="129"/>
      <c r="DF114" s="132"/>
      <c r="DG114" s="85"/>
      <c r="DH114" s="85"/>
      <c r="DI114" s="84"/>
      <c r="DK114" s="84"/>
      <c r="DP114" s="84"/>
      <c r="DU114" s="84"/>
      <c r="DY114" s="84"/>
      <c r="EC114" s="84"/>
      <c r="EG114" s="84"/>
      <c r="EK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128"/>
      <c r="AA115" s="129"/>
      <c r="AC115" s="130"/>
      <c r="AD115" s="128"/>
      <c r="AE115" s="129"/>
      <c r="AG115" s="130"/>
      <c r="AH115" s="128"/>
      <c r="AI115" s="129"/>
      <c r="AK115" s="130"/>
      <c r="AL115" s="128"/>
      <c r="AM115" s="129"/>
      <c r="AO115" s="130"/>
      <c r="AP115" s="128"/>
      <c r="AQ115" s="129"/>
      <c r="AS115" s="130"/>
      <c r="AT115" s="128"/>
      <c r="AU115" s="129"/>
      <c r="AW115" s="130"/>
      <c r="AX115" s="85"/>
      <c r="AY115" s="84"/>
      <c r="AZ115" s="84"/>
      <c r="BA115" s="131"/>
      <c r="BB115" s="84"/>
      <c r="BE115" s="84"/>
      <c r="BI115" s="86"/>
      <c r="BO115" s="84"/>
      <c r="BT115" s="84"/>
      <c r="BY115" s="84"/>
      <c r="CD115" s="84"/>
      <c r="CI115" s="128"/>
      <c r="CJ115" s="129"/>
      <c r="CL115" s="132"/>
      <c r="CM115" s="128"/>
      <c r="CN115" s="129"/>
      <c r="CP115" s="132"/>
      <c r="CQ115" s="128"/>
      <c r="CR115" s="129"/>
      <c r="CT115" s="132"/>
      <c r="CU115" s="128"/>
      <c r="CV115" s="129"/>
      <c r="CX115" s="132"/>
      <c r="CY115" s="128"/>
      <c r="CZ115" s="129"/>
      <c r="DB115" s="132"/>
      <c r="DC115" s="128"/>
      <c r="DD115" s="129"/>
      <c r="DF115" s="132"/>
      <c r="DG115" s="85"/>
      <c r="DH115" s="85"/>
      <c r="DI115" s="84"/>
      <c r="DK115" s="84"/>
      <c r="DP115" s="84"/>
      <c r="DU115" s="84"/>
      <c r="DY115" s="84"/>
      <c r="EC115" s="84"/>
      <c r="EG115" s="84"/>
      <c r="EK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128"/>
      <c r="AA116" s="129"/>
      <c r="AC116" s="130"/>
      <c r="AD116" s="128"/>
      <c r="AE116" s="129"/>
      <c r="AG116" s="130"/>
      <c r="AH116" s="128"/>
      <c r="AI116" s="129"/>
      <c r="AK116" s="130"/>
      <c r="AL116" s="128"/>
      <c r="AM116" s="129"/>
      <c r="AO116" s="130"/>
      <c r="AP116" s="128"/>
      <c r="AQ116" s="129"/>
      <c r="AS116" s="130"/>
      <c r="AT116" s="128"/>
      <c r="AU116" s="129"/>
      <c r="AW116" s="130"/>
      <c r="AX116" s="85"/>
      <c r="AY116" s="84"/>
      <c r="AZ116" s="84"/>
      <c r="BA116" s="131"/>
      <c r="BB116" s="84"/>
      <c r="BE116" s="84"/>
      <c r="BI116" s="86"/>
      <c r="BO116" s="84"/>
      <c r="BT116" s="84"/>
      <c r="BY116" s="84"/>
      <c r="CD116" s="84"/>
      <c r="CI116" s="128"/>
      <c r="CJ116" s="129"/>
      <c r="CL116" s="132"/>
      <c r="CM116" s="128"/>
      <c r="CN116" s="129"/>
      <c r="CP116" s="132"/>
      <c r="CQ116" s="128"/>
      <c r="CR116" s="129"/>
      <c r="CT116" s="132"/>
      <c r="CU116" s="128"/>
      <c r="CV116" s="129"/>
      <c r="CX116" s="132"/>
      <c r="CY116" s="128"/>
      <c r="CZ116" s="129"/>
      <c r="DB116" s="132"/>
      <c r="DC116" s="128"/>
      <c r="DD116" s="129"/>
      <c r="DF116" s="132"/>
      <c r="DG116" s="85"/>
      <c r="DH116" s="85"/>
      <c r="DI116" s="84"/>
      <c r="DK116" s="84"/>
      <c r="DP116" s="84"/>
      <c r="DU116" s="84"/>
      <c r="DY116" s="84"/>
      <c r="EC116" s="84"/>
      <c r="EG116" s="84"/>
      <c r="EK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128"/>
      <c r="AA117" s="129"/>
      <c r="AC117" s="130"/>
      <c r="AD117" s="128"/>
      <c r="AE117" s="129"/>
      <c r="AG117" s="130"/>
      <c r="AH117" s="128"/>
      <c r="AI117" s="129"/>
      <c r="AK117" s="130"/>
      <c r="AL117" s="128"/>
      <c r="AM117" s="129"/>
      <c r="AO117" s="130"/>
      <c r="AP117" s="128"/>
      <c r="AQ117" s="129"/>
      <c r="AS117" s="130"/>
      <c r="AT117" s="128"/>
      <c r="AU117" s="129"/>
      <c r="AW117" s="130"/>
      <c r="AX117" s="85"/>
      <c r="AY117" s="84"/>
      <c r="AZ117" s="84"/>
      <c r="BA117" s="131"/>
      <c r="BB117" s="84"/>
      <c r="BE117" s="84"/>
      <c r="BI117" s="86"/>
      <c r="BO117" s="84"/>
      <c r="BT117" s="84"/>
      <c r="BY117" s="84"/>
      <c r="CD117" s="84"/>
      <c r="CI117" s="128"/>
      <c r="CJ117" s="129"/>
      <c r="CL117" s="132"/>
      <c r="CM117" s="128"/>
      <c r="CN117" s="129"/>
      <c r="CP117" s="132"/>
      <c r="CQ117" s="128"/>
      <c r="CR117" s="129"/>
      <c r="CT117" s="132"/>
      <c r="CU117" s="128"/>
      <c r="CV117" s="129"/>
      <c r="CX117" s="132"/>
      <c r="CY117" s="128"/>
      <c r="CZ117" s="129"/>
      <c r="DB117" s="132"/>
      <c r="DC117" s="128"/>
      <c r="DD117" s="129"/>
      <c r="DF117" s="132"/>
      <c r="DG117" s="85"/>
      <c r="DH117" s="85"/>
      <c r="DI117" s="84"/>
      <c r="DK117" s="84"/>
      <c r="DP117" s="84"/>
      <c r="DU117" s="84"/>
      <c r="DY117" s="84"/>
      <c r="EC117" s="84"/>
      <c r="EG117" s="84"/>
      <c r="EK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128"/>
      <c r="AA118" s="129"/>
      <c r="AC118" s="130"/>
      <c r="AD118" s="128"/>
      <c r="AE118" s="129"/>
      <c r="AG118" s="130"/>
      <c r="AH118" s="128"/>
      <c r="AI118" s="129"/>
      <c r="AK118" s="130"/>
      <c r="AL118" s="128"/>
      <c r="AM118" s="129"/>
      <c r="AO118" s="130"/>
      <c r="AP118" s="128"/>
      <c r="AQ118" s="129"/>
      <c r="AS118" s="130"/>
      <c r="AT118" s="128"/>
      <c r="AU118" s="129"/>
      <c r="AW118" s="130"/>
      <c r="AX118" s="85"/>
      <c r="AY118" s="84"/>
      <c r="AZ118" s="84"/>
      <c r="BA118" s="131"/>
      <c r="BB118" s="84"/>
      <c r="BE118" s="84"/>
      <c r="BI118" s="86"/>
      <c r="BO118" s="84"/>
      <c r="BT118" s="84"/>
      <c r="BY118" s="84"/>
      <c r="CD118" s="84"/>
      <c r="CI118" s="128"/>
      <c r="CJ118" s="129"/>
      <c r="CL118" s="132"/>
      <c r="CM118" s="128"/>
      <c r="CN118" s="129"/>
      <c r="CP118" s="132"/>
      <c r="CQ118" s="128"/>
      <c r="CR118" s="129"/>
      <c r="CT118" s="132"/>
      <c r="CU118" s="128"/>
      <c r="CV118" s="129"/>
      <c r="CX118" s="132"/>
      <c r="CY118" s="128"/>
      <c r="CZ118" s="129"/>
      <c r="DB118" s="132"/>
      <c r="DC118" s="128"/>
      <c r="DD118" s="129"/>
      <c r="DF118" s="132"/>
      <c r="DG118" s="85"/>
      <c r="DH118" s="85"/>
      <c r="DI118" s="84"/>
      <c r="DK118" s="84"/>
      <c r="DP118" s="84"/>
      <c r="DU118" s="84"/>
      <c r="DY118" s="84"/>
      <c r="EC118" s="84"/>
      <c r="EG118" s="84"/>
      <c r="EK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128"/>
      <c r="AA119" s="129"/>
      <c r="AC119" s="130"/>
      <c r="AD119" s="128"/>
      <c r="AE119" s="129"/>
      <c r="AG119" s="130"/>
      <c r="AH119" s="128"/>
      <c r="AI119" s="129"/>
      <c r="AK119" s="130"/>
      <c r="AL119" s="128"/>
      <c r="AM119" s="129"/>
      <c r="AO119" s="130"/>
      <c r="AP119" s="128"/>
      <c r="AQ119" s="129"/>
      <c r="AS119" s="130"/>
      <c r="AT119" s="128"/>
      <c r="AU119" s="129"/>
      <c r="AW119" s="130"/>
      <c r="AX119" s="85"/>
      <c r="AY119" s="84"/>
      <c r="AZ119" s="84"/>
      <c r="BA119" s="131"/>
      <c r="BB119" s="84"/>
      <c r="BE119" s="84"/>
      <c r="BI119" s="86"/>
      <c r="BO119" s="84"/>
      <c r="BT119" s="84"/>
      <c r="BY119" s="84"/>
      <c r="CD119" s="84"/>
      <c r="CI119" s="128"/>
      <c r="CJ119" s="129"/>
      <c r="CL119" s="132"/>
      <c r="CM119" s="128"/>
      <c r="CN119" s="129"/>
      <c r="CP119" s="132"/>
      <c r="CQ119" s="128"/>
      <c r="CR119" s="129"/>
      <c r="CT119" s="132"/>
      <c r="CU119" s="128"/>
      <c r="CV119" s="129"/>
      <c r="CX119" s="132"/>
      <c r="CY119" s="128"/>
      <c r="CZ119" s="129"/>
      <c r="DB119" s="132"/>
      <c r="DC119" s="128"/>
      <c r="DD119" s="129"/>
      <c r="DF119" s="132"/>
      <c r="DG119" s="85"/>
      <c r="DH119" s="85"/>
      <c r="DI119" s="84"/>
      <c r="DK119" s="84"/>
      <c r="DP119" s="84"/>
      <c r="DU119" s="84"/>
      <c r="DY119" s="84"/>
      <c r="EC119" s="84"/>
      <c r="EG119" s="84"/>
      <c r="EK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128"/>
      <c r="AA120" s="129"/>
      <c r="AC120" s="130"/>
      <c r="AD120" s="128"/>
      <c r="AE120" s="129"/>
      <c r="AG120" s="130"/>
      <c r="AH120" s="128"/>
      <c r="AI120" s="129"/>
      <c r="AK120" s="130"/>
      <c r="AL120" s="128"/>
      <c r="AM120" s="129"/>
      <c r="AO120" s="130"/>
      <c r="AP120" s="128"/>
      <c r="AQ120" s="129"/>
      <c r="AS120" s="130"/>
      <c r="AT120" s="128"/>
      <c r="AU120" s="129"/>
      <c r="AW120" s="130"/>
      <c r="AX120" s="85"/>
      <c r="AY120" s="84"/>
      <c r="AZ120" s="84"/>
      <c r="BA120" s="131"/>
      <c r="BB120" s="84"/>
      <c r="BE120" s="84"/>
      <c r="BI120" s="86"/>
      <c r="BO120" s="84"/>
      <c r="BT120" s="84"/>
      <c r="BY120" s="84"/>
      <c r="CD120" s="84"/>
      <c r="CI120" s="128"/>
      <c r="CJ120" s="129"/>
      <c r="CL120" s="132"/>
      <c r="CM120" s="128"/>
      <c r="CN120" s="129"/>
      <c r="CP120" s="132"/>
      <c r="CQ120" s="128"/>
      <c r="CR120" s="129"/>
      <c r="CT120" s="132"/>
      <c r="CU120" s="128"/>
      <c r="CV120" s="129"/>
      <c r="CX120" s="132"/>
      <c r="CY120" s="128"/>
      <c r="CZ120" s="129"/>
      <c r="DB120" s="132"/>
      <c r="DC120" s="128"/>
      <c r="DD120" s="129"/>
      <c r="DF120" s="132"/>
      <c r="DG120" s="85"/>
      <c r="DH120" s="85"/>
      <c r="DI120" s="84"/>
      <c r="DK120" s="84"/>
      <c r="DP120" s="84"/>
      <c r="DU120" s="84"/>
      <c r="DY120" s="84"/>
      <c r="EC120" s="84"/>
      <c r="EG120" s="84"/>
      <c r="EK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128"/>
      <c r="AA121" s="129"/>
      <c r="AC121" s="130"/>
      <c r="AD121" s="128"/>
      <c r="AE121" s="129"/>
      <c r="AG121" s="130"/>
      <c r="AH121" s="128"/>
      <c r="AI121" s="129"/>
      <c r="AK121" s="130"/>
      <c r="AL121" s="128"/>
      <c r="AM121" s="129"/>
      <c r="AO121" s="130"/>
      <c r="AP121" s="128"/>
      <c r="AQ121" s="129"/>
      <c r="AS121" s="130"/>
      <c r="AT121" s="128"/>
      <c r="AU121" s="129"/>
      <c r="AW121" s="130"/>
      <c r="AX121" s="85"/>
      <c r="AY121" s="84"/>
      <c r="AZ121" s="84"/>
      <c r="BA121" s="131"/>
      <c r="BB121" s="84"/>
      <c r="BE121" s="84"/>
      <c r="BI121" s="86"/>
      <c r="BO121" s="84"/>
      <c r="BT121" s="84"/>
      <c r="BY121" s="84"/>
      <c r="CD121" s="84"/>
      <c r="CI121" s="128"/>
      <c r="CJ121" s="129"/>
      <c r="CL121" s="132"/>
      <c r="CM121" s="128"/>
      <c r="CN121" s="129"/>
      <c r="CP121" s="132"/>
      <c r="CQ121" s="128"/>
      <c r="CR121" s="129"/>
      <c r="CT121" s="132"/>
      <c r="CU121" s="128"/>
      <c r="CV121" s="129"/>
      <c r="CX121" s="132"/>
      <c r="CY121" s="128"/>
      <c r="CZ121" s="129"/>
      <c r="DB121" s="132"/>
      <c r="DC121" s="128"/>
      <c r="DD121" s="129"/>
      <c r="DF121" s="132"/>
      <c r="DG121" s="85"/>
      <c r="DH121" s="85"/>
      <c r="DI121" s="84"/>
      <c r="DK121" s="84"/>
      <c r="DP121" s="84"/>
      <c r="DU121" s="84"/>
      <c r="DY121" s="84"/>
      <c r="EC121" s="84"/>
      <c r="EG121" s="84"/>
      <c r="EK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128"/>
      <c r="AA122" s="129"/>
      <c r="AC122" s="130"/>
      <c r="AD122" s="128"/>
      <c r="AE122" s="129"/>
      <c r="AG122" s="130"/>
      <c r="AH122" s="128"/>
      <c r="AI122" s="129"/>
      <c r="AK122" s="130"/>
      <c r="AL122" s="128"/>
      <c r="AM122" s="129"/>
      <c r="AO122" s="130"/>
      <c r="AP122" s="128"/>
      <c r="AQ122" s="129"/>
      <c r="AS122" s="130"/>
      <c r="AT122" s="128"/>
      <c r="AU122" s="129"/>
      <c r="AW122" s="130"/>
      <c r="AX122" s="85"/>
      <c r="AY122" s="84"/>
      <c r="AZ122" s="84"/>
      <c r="BA122" s="131"/>
      <c r="BB122" s="84"/>
      <c r="BE122" s="84"/>
      <c r="BI122" s="86"/>
      <c r="BO122" s="84"/>
      <c r="BT122" s="84"/>
      <c r="BY122" s="84"/>
      <c r="CD122" s="84"/>
      <c r="CI122" s="128"/>
      <c r="CJ122" s="129"/>
      <c r="CL122" s="132"/>
      <c r="CM122" s="128"/>
      <c r="CN122" s="129"/>
      <c r="CP122" s="132"/>
      <c r="CQ122" s="128"/>
      <c r="CR122" s="129"/>
      <c r="CT122" s="132"/>
      <c r="CU122" s="128"/>
      <c r="CV122" s="129"/>
      <c r="CX122" s="132"/>
      <c r="CY122" s="128"/>
      <c r="CZ122" s="129"/>
      <c r="DB122" s="132"/>
      <c r="DC122" s="128"/>
      <c r="DD122" s="129"/>
      <c r="DF122" s="132"/>
      <c r="DG122" s="85"/>
      <c r="DH122" s="85"/>
      <c r="DI122" s="84"/>
      <c r="DK122" s="84"/>
      <c r="DP122" s="84"/>
      <c r="DU122" s="84"/>
      <c r="DY122" s="84"/>
      <c r="EC122" s="84"/>
      <c r="EG122" s="84"/>
      <c r="EK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128"/>
      <c r="AA123" s="129"/>
      <c r="AC123" s="130"/>
      <c r="AD123" s="128"/>
      <c r="AE123" s="129"/>
      <c r="AG123" s="130"/>
      <c r="AH123" s="128"/>
      <c r="AI123" s="129"/>
      <c r="AK123" s="130"/>
      <c r="AL123" s="128"/>
      <c r="AM123" s="129"/>
      <c r="AO123" s="130"/>
      <c r="AP123" s="128"/>
      <c r="AQ123" s="129"/>
      <c r="AS123" s="130"/>
      <c r="AT123" s="128"/>
      <c r="AU123" s="129"/>
      <c r="AW123" s="130"/>
      <c r="AX123" s="85"/>
      <c r="AY123" s="84"/>
      <c r="AZ123" s="84"/>
      <c r="BA123" s="131"/>
      <c r="BB123" s="84"/>
      <c r="BE123" s="84"/>
      <c r="BI123" s="86"/>
      <c r="BO123" s="84"/>
      <c r="BT123" s="84"/>
      <c r="BY123" s="84"/>
      <c r="CD123" s="84"/>
      <c r="CI123" s="128"/>
      <c r="CJ123" s="129"/>
      <c r="CL123" s="132"/>
      <c r="CM123" s="128"/>
      <c r="CN123" s="129"/>
      <c r="CP123" s="132"/>
      <c r="CQ123" s="128"/>
      <c r="CR123" s="129"/>
      <c r="CT123" s="132"/>
      <c r="CU123" s="128"/>
      <c r="CV123" s="129"/>
      <c r="CX123" s="132"/>
      <c r="CY123" s="128"/>
      <c r="CZ123" s="129"/>
      <c r="DB123" s="132"/>
      <c r="DC123" s="128"/>
      <c r="DD123" s="129"/>
      <c r="DF123" s="132"/>
      <c r="DG123" s="85"/>
      <c r="DH123" s="85"/>
      <c r="DI123" s="84"/>
      <c r="DK123" s="84"/>
      <c r="DP123" s="84"/>
      <c r="DU123" s="84"/>
      <c r="DY123" s="84"/>
      <c r="EC123" s="84"/>
      <c r="EG123" s="84"/>
      <c r="EK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128"/>
      <c r="AA124" s="129"/>
      <c r="AC124" s="130"/>
      <c r="AD124" s="128"/>
      <c r="AE124" s="129"/>
      <c r="AG124" s="130"/>
      <c r="AH124" s="128"/>
      <c r="AI124" s="129"/>
      <c r="AK124" s="130"/>
      <c r="AL124" s="128"/>
      <c r="AM124" s="129"/>
      <c r="AO124" s="130"/>
      <c r="AP124" s="128"/>
      <c r="AQ124" s="129"/>
      <c r="AS124" s="130"/>
      <c r="AT124" s="128"/>
      <c r="AU124" s="129"/>
      <c r="AW124" s="130"/>
      <c r="AX124" s="85"/>
      <c r="AY124" s="84"/>
      <c r="AZ124" s="84"/>
      <c r="BA124" s="131"/>
      <c r="BB124" s="84"/>
      <c r="BE124" s="84"/>
      <c r="BI124" s="86"/>
      <c r="BO124" s="84"/>
      <c r="BT124" s="84"/>
      <c r="BY124" s="84"/>
      <c r="CD124" s="84"/>
      <c r="CI124" s="128"/>
      <c r="CJ124" s="129"/>
      <c r="CL124" s="132"/>
      <c r="CM124" s="128"/>
      <c r="CN124" s="129"/>
      <c r="CP124" s="132"/>
      <c r="CQ124" s="128"/>
      <c r="CR124" s="129"/>
      <c r="CT124" s="132"/>
      <c r="CU124" s="128"/>
      <c r="CV124" s="129"/>
      <c r="CX124" s="132"/>
      <c r="CY124" s="128"/>
      <c r="CZ124" s="129"/>
      <c r="DB124" s="132"/>
      <c r="DC124" s="128"/>
      <c r="DD124" s="129"/>
      <c r="DF124" s="132"/>
      <c r="DG124" s="85"/>
      <c r="DH124" s="85"/>
      <c r="DI124" s="84"/>
      <c r="DK124" s="84"/>
      <c r="DP124" s="84"/>
      <c r="DU124" s="84"/>
      <c r="DY124" s="84"/>
      <c r="EC124" s="84"/>
      <c r="EG124" s="84"/>
      <c r="EK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128"/>
      <c r="AA125" s="129"/>
      <c r="AC125" s="130"/>
      <c r="AD125" s="128"/>
      <c r="AE125" s="129"/>
      <c r="AG125" s="130"/>
      <c r="AH125" s="128"/>
      <c r="AI125" s="129"/>
      <c r="AK125" s="130"/>
      <c r="AL125" s="128"/>
      <c r="AM125" s="129"/>
      <c r="AO125" s="130"/>
      <c r="AP125" s="128"/>
      <c r="AQ125" s="129"/>
      <c r="AS125" s="130"/>
      <c r="AT125" s="128"/>
      <c r="AU125" s="129"/>
      <c r="AW125" s="130"/>
      <c r="AX125" s="85"/>
      <c r="AY125" s="84"/>
      <c r="AZ125" s="84"/>
      <c r="BA125" s="131"/>
      <c r="BB125" s="84"/>
      <c r="BE125" s="84"/>
      <c r="BI125" s="86"/>
      <c r="BO125" s="84"/>
      <c r="BT125" s="84"/>
      <c r="BY125" s="84"/>
      <c r="CD125" s="84"/>
      <c r="CI125" s="128"/>
      <c r="CJ125" s="129"/>
      <c r="CL125" s="132"/>
      <c r="CM125" s="128"/>
      <c r="CN125" s="129"/>
      <c r="CP125" s="132"/>
      <c r="CQ125" s="128"/>
      <c r="CR125" s="129"/>
      <c r="CT125" s="132"/>
      <c r="CU125" s="128"/>
      <c r="CV125" s="129"/>
      <c r="CX125" s="132"/>
      <c r="CY125" s="128"/>
      <c r="CZ125" s="129"/>
      <c r="DB125" s="132"/>
      <c r="DC125" s="128"/>
      <c r="DD125" s="129"/>
      <c r="DF125" s="132"/>
      <c r="DG125" s="85"/>
      <c r="DH125" s="85"/>
      <c r="DI125" s="84"/>
      <c r="DK125" s="84"/>
      <c r="DP125" s="84"/>
      <c r="DU125" s="84"/>
      <c r="DY125" s="84"/>
      <c r="EC125" s="84"/>
      <c r="EG125" s="84"/>
      <c r="EK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128"/>
      <c r="AA126" s="129"/>
      <c r="AC126" s="130"/>
      <c r="AD126" s="128"/>
      <c r="AE126" s="129"/>
      <c r="AG126" s="130"/>
      <c r="AH126" s="128"/>
      <c r="AI126" s="129"/>
      <c r="AK126" s="130"/>
      <c r="AL126" s="128"/>
      <c r="AM126" s="129"/>
      <c r="AO126" s="130"/>
      <c r="AP126" s="128"/>
      <c r="AQ126" s="129"/>
      <c r="AS126" s="130"/>
      <c r="AT126" s="128"/>
      <c r="AU126" s="129"/>
      <c r="AW126" s="130"/>
      <c r="AX126" s="85"/>
      <c r="AY126" s="84"/>
      <c r="AZ126" s="84"/>
      <c r="BA126" s="131"/>
      <c r="BB126" s="84"/>
      <c r="BE126" s="84"/>
      <c r="BI126" s="86"/>
      <c r="BO126" s="84"/>
      <c r="BT126" s="84"/>
      <c r="BY126" s="84"/>
      <c r="CD126" s="84"/>
      <c r="CI126" s="128"/>
      <c r="CJ126" s="129"/>
      <c r="CL126" s="132"/>
      <c r="CM126" s="128"/>
      <c r="CN126" s="129"/>
      <c r="CP126" s="132"/>
      <c r="CQ126" s="128"/>
      <c r="CR126" s="129"/>
      <c r="CT126" s="132"/>
      <c r="CU126" s="128"/>
      <c r="CV126" s="129"/>
      <c r="CX126" s="132"/>
      <c r="CY126" s="128"/>
      <c r="CZ126" s="129"/>
      <c r="DB126" s="132"/>
      <c r="DC126" s="128"/>
      <c r="DD126" s="129"/>
      <c r="DF126" s="132"/>
      <c r="DG126" s="85"/>
      <c r="DH126" s="85"/>
      <c r="DI126" s="84"/>
      <c r="DK126" s="84"/>
      <c r="DP126" s="84"/>
      <c r="DU126" s="84"/>
      <c r="DY126" s="84"/>
      <c r="EC126" s="84"/>
      <c r="EG126" s="84"/>
      <c r="EK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128"/>
      <c r="AA127" s="129"/>
      <c r="AC127" s="130"/>
      <c r="AD127" s="128"/>
      <c r="AE127" s="129"/>
      <c r="AG127" s="130"/>
      <c r="AH127" s="128"/>
      <c r="AI127" s="129"/>
      <c r="AK127" s="130"/>
      <c r="AL127" s="128"/>
      <c r="AM127" s="129"/>
      <c r="AO127" s="130"/>
      <c r="AP127" s="128"/>
      <c r="AQ127" s="129"/>
      <c r="AS127" s="130"/>
      <c r="AT127" s="128"/>
      <c r="AU127" s="129"/>
      <c r="AW127" s="130"/>
      <c r="AX127" s="85"/>
      <c r="AY127" s="84"/>
      <c r="AZ127" s="84"/>
      <c r="BA127" s="131"/>
      <c r="BB127" s="84"/>
      <c r="BE127" s="84"/>
      <c r="BI127" s="86"/>
      <c r="BO127" s="84"/>
      <c r="BT127" s="84"/>
      <c r="BY127" s="84"/>
      <c r="CD127" s="84"/>
      <c r="CI127" s="128"/>
      <c r="CJ127" s="129"/>
      <c r="CL127" s="132"/>
      <c r="CM127" s="128"/>
      <c r="CN127" s="129"/>
      <c r="CP127" s="132"/>
      <c r="CQ127" s="128"/>
      <c r="CR127" s="129"/>
      <c r="CT127" s="132"/>
      <c r="CU127" s="128"/>
      <c r="CV127" s="129"/>
      <c r="CX127" s="132"/>
      <c r="CY127" s="128"/>
      <c r="CZ127" s="129"/>
      <c r="DB127" s="132"/>
      <c r="DC127" s="128"/>
      <c r="DD127" s="129"/>
      <c r="DF127" s="132"/>
      <c r="DG127" s="85"/>
      <c r="DH127" s="85"/>
      <c r="DI127" s="84"/>
      <c r="DK127" s="84"/>
      <c r="DP127" s="84"/>
      <c r="DU127" s="84"/>
      <c r="DY127" s="84"/>
      <c r="EC127" s="84"/>
      <c r="EG127" s="84"/>
      <c r="EK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128"/>
      <c r="AA128" s="129"/>
      <c r="AC128" s="130"/>
      <c r="AD128" s="128"/>
      <c r="AE128" s="129"/>
      <c r="AG128" s="130"/>
      <c r="AH128" s="128"/>
      <c r="AI128" s="129"/>
      <c r="AK128" s="130"/>
      <c r="AL128" s="128"/>
      <c r="AM128" s="129"/>
      <c r="AO128" s="130"/>
      <c r="AP128" s="128"/>
      <c r="AQ128" s="129"/>
      <c r="AS128" s="130"/>
      <c r="AT128" s="128"/>
      <c r="AU128" s="129"/>
      <c r="AW128" s="130"/>
      <c r="AX128" s="85"/>
      <c r="AY128" s="84"/>
      <c r="AZ128" s="84"/>
      <c r="BA128" s="131"/>
      <c r="BB128" s="84"/>
      <c r="BE128" s="84"/>
      <c r="BI128" s="86"/>
      <c r="BO128" s="84"/>
      <c r="BT128" s="84"/>
      <c r="BY128" s="84"/>
      <c r="CD128" s="84"/>
      <c r="CI128" s="128"/>
      <c r="CJ128" s="129"/>
      <c r="CL128" s="132"/>
      <c r="CM128" s="128"/>
      <c r="CN128" s="129"/>
      <c r="CP128" s="132"/>
      <c r="CQ128" s="128"/>
      <c r="CR128" s="129"/>
      <c r="CT128" s="132"/>
      <c r="CU128" s="128"/>
      <c r="CV128" s="129"/>
      <c r="CX128" s="132"/>
      <c r="CY128" s="128"/>
      <c r="CZ128" s="129"/>
      <c r="DB128" s="132"/>
      <c r="DC128" s="128"/>
      <c r="DD128" s="129"/>
      <c r="DF128" s="132"/>
      <c r="DG128" s="85"/>
      <c r="DH128" s="85"/>
      <c r="DI128" s="84"/>
      <c r="DK128" s="84"/>
      <c r="DP128" s="84"/>
      <c r="DU128" s="84"/>
      <c r="DY128" s="84"/>
      <c r="EC128" s="84"/>
      <c r="EG128" s="84"/>
      <c r="EK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128"/>
      <c r="AA129" s="129"/>
      <c r="AC129" s="130"/>
      <c r="AD129" s="128"/>
      <c r="AE129" s="129"/>
      <c r="AG129" s="130"/>
      <c r="AH129" s="128"/>
      <c r="AI129" s="129"/>
      <c r="AK129" s="130"/>
      <c r="AL129" s="128"/>
      <c r="AM129" s="129"/>
      <c r="AO129" s="130"/>
      <c r="AP129" s="128"/>
      <c r="AQ129" s="129"/>
      <c r="AS129" s="130"/>
      <c r="AT129" s="128"/>
      <c r="AU129" s="129"/>
      <c r="AW129" s="130"/>
      <c r="AX129" s="85"/>
      <c r="AY129" s="84"/>
      <c r="AZ129" s="84"/>
      <c r="BA129" s="131"/>
      <c r="BB129" s="84"/>
      <c r="BE129" s="84"/>
      <c r="BI129" s="86"/>
      <c r="BO129" s="84"/>
      <c r="BT129" s="84"/>
      <c r="BY129" s="84"/>
      <c r="CD129" s="84"/>
      <c r="CI129" s="128"/>
      <c r="CJ129" s="129"/>
      <c r="CL129" s="132"/>
      <c r="CM129" s="128"/>
      <c r="CN129" s="129"/>
      <c r="CP129" s="132"/>
      <c r="CQ129" s="128"/>
      <c r="CR129" s="129"/>
      <c r="CT129" s="132"/>
      <c r="CU129" s="128"/>
      <c r="CV129" s="129"/>
      <c r="CX129" s="132"/>
      <c r="CY129" s="128"/>
      <c r="CZ129" s="129"/>
      <c r="DB129" s="132"/>
      <c r="DC129" s="128"/>
      <c r="DD129" s="129"/>
      <c r="DF129" s="132"/>
      <c r="DG129" s="85"/>
      <c r="DH129" s="85"/>
      <c r="DI129" s="84"/>
      <c r="DK129" s="84"/>
      <c r="DP129" s="84"/>
      <c r="DU129" s="84"/>
      <c r="DY129" s="84"/>
      <c r="EC129" s="84"/>
      <c r="EG129" s="84"/>
      <c r="EK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128"/>
      <c r="AA130" s="129"/>
      <c r="AC130" s="130"/>
      <c r="AD130" s="128"/>
      <c r="AE130" s="129"/>
      <c r="AG130" s="130"/>
      <c r="AH130" s="128"/>
      <c r="AI130" s="129"/>
      <c r="AK130" s="130"/>
      <c r="AL130" s="128"/>
      <c r="AM130" s="129"/>
      <c r="AO130" s="130"/>
      <c r="AP130" s="128"/>
      <c r="AQ130" s="129"/>
      <c r="AS130" s="130"/>
      <c r="AT130" s="128"/>
      <c r="AU130" s="129"/>
      <c r="AW130" s="130"/>
      <c r="AX130" s="85"/>
      <c r="AY130" s="84"/>
      <c r="AZ130" s="84"/>
      <c r="BA130" s="131"/>
      <c r="BB130" s="84"/>
      <c r="BE130" s="84"/>
      <c r="BI130" s="86"/>
      <c r="BO130" s="84"/>
      <c r="BT130" s="84"/>
      <c r="BY130" s="84"/>
      <c r="CD130" s="84"/>
      <c r="CI130" s="128"/>
      <c r="CJ130" s="129"/>
      <c r="CL130" s="132"/>
      <c r="CM130" s="128"/>
      <c r="CN130" s="129"/>
      <c r="CP130" s="132"/>
      <c r="CQ130" s="128"/>
      <c r="CR130" s="129"/>
      <c r="CT130" s="132"/>
      <c r="CU130" s="128"/>
      <c r="CV130" s="129"/>
      <c r="CX130" s="132"/>
      <c r="CY130" s="128"/>
      <c r="CZ130" s="129"/>
      <c r="DB130" s="132"/>
      <c r="DC130" s="128"/>
      <c r="DD130" s="129"/>
      <c r="DF130" s="132"/>
      <c r="DG130" s="85"/>
      <c r="DH130" s="85"/>
      <c r="DI130" s="84"/>
      <c r="DK130" s="84"/>
      <c r="DP130" s="84"/>
      <c r="DU130" s="84"/>
      <c r="DY130" s="84"/>
      <c r="EC130" s="84"/>
      <c r="EG130" s="84"/>
      <c r="EK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128"/>
      <c r="AA131" s="129"/>
      <c r="AC131" s="130"/>
      <c r="AD131" s="128"/>
      <c r="AE131" s="129"/>
      <c r="AG131" s="130"/>
      <c r="AH131" s="128"/>
      <c r="AI131" s="129"/>
      <c r="AK131" s="130"/>
      <c r="AL131" s="128"/>
      <c r="AM131" s="129"/>
      <c r="AO131" s="130"/>
      <c r="AP131" s="128"/>
      <c r="AQ131" s="129"/>
      <c r="AS131" s="130"/>
      <c r="AT131" s="128"/>
      <c r="AU131" s="129"/>
      <c r="AW131" s="130"/>
      <c r="AX131" s="85"/>
      <c r="AY131" s="84"/>
      <c r="AZ131" s="84"/>
      <c r="BA131" s="131"/>
      <c r="BB131" s="84"/>
      <c r="BE131" s="84"/>
      <c r="BI131" s="86"/>
      <c r="BO131" s="84"/>
      <c r="BT131" s="84"/>
      <c r="BY131" s="84"/>
      <c r="CD131" s="84"/>
      <c r="CI131" s="128"/>
      <c r="CJ131" s="129"/>
      <c r="CL131" s="132"/>
      <c r="CM131" s="128"/>
      <c r="CN131" s="129"/>
      <c r="CP131" s="132"/>
      <c r="CQ131" s="128"/>
      <c r="CR131" s="129"/>
      <c r="CT131" s="132"/>
      <c r="CU131" s="128"/>
      <c r="CV131" s="129"/>
      <c r="CX131" s="132"/>
      <c r="CY131" s="128"/>
      <c r="CZ131" s="129"/>
      <c r="DB131" s="132"/>
      <c r="DC131" s="128"/>
      <c r="DD131" s="129"/>
      <c r="DF131" s="132"/>
      <c r="DG131" s="85"/>
      <c r="DH131" s="85"/>
      <c r="DI131" s="84"/>
      <c r="DK131" s="84"/>
      <c r="DP131" s="84"/>
      <c r="DU131" s="84"/>
      <c r="DY131" s="84"/>
      <c r="EC131" s="84"/>
      <c r="EG131" s="84"/>
      <c r="EK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128"/>
      <c r="AA132" s="129"/>
      <c r="AC132" s="130"/>
      <c r="AD132" s="128"/>
      <c r="AE132" s="129"/>
      <c r="AG132" s="130"/>
      <c r="AH132" s="128"/>
      <c r="AI132" s="129"/>
      <c r="AK132" s="130"/>
      <c r="AL132" s="128"/>
      <c r="AM132" s="129"/>
      <c r="AO132" s="130"/>
      <c r="AP132" s="128"/>
      <c r="AQ132" s="129"/>
      <c r="AS132" s="130"/>
      <c r="AT132" s="128"/>
      <c r="AU132" s="129"/>
      <c r="AW132" s="130"/>
      <c r="AX132" s="85"/>
      <c r="AY132" s="84"/>
      <c r="AZ132" s="84"/>
      <c r="BA132" s="131"/>
      <c r="BB132" s="84"/>
      <c r="BE132" s="84"/>
      <c r="BI132" s="86"/>
      <c r="BO132" s="84"/>
      <c r="BT132" s="84"/>
      <c r="BY132" s="84"/>
      <c r="CD132" s="84"/>
      <c r="CI132" s="128"/>
      <c r="CJ132" s="129"/>
      <c r="CL132" s="132"/>
      <c r="CM132" s="128"/>
      <c r="CN132" s="129"/>
      <c r="CP132" s="132"/>
      <c r="CQ132" s="128"/>
      <c r="CR132" s="129"/>
      <c r="CT132" s="132"/>
      <c r="CU132" s="128"/>
      <c r="CV132" s="129"/>
      <c r="CX132" s="132"/>
      <c r="CY132" s="128"/>
      <c r="CZ132" s="129"/>
      <c r="DB132" s="132"/>
      <c r="DC132" s="128"/>
      <c r="DD132" s="129"/>
      <c r="DF132" s="132"/>
      <c r="DG132" s="85"/>
      <c r="DH132" s="85"/>
      <c r="DI132" s="84"/>
      <c r="DK132" s="84"/>
      <c r="DP132" s="84"/>
      <c r="DU132" s="84"/>
      <c r="DY132" s="84"/>
      <c r="EC132" s="84"/>
      <c r="EG132" s="84"/>
      <c r="EK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128"/>
      <c r="AA133" s="129"/>
      <c r="AC133" s="130"/>
      <c r="AD133" s="128"/>
      <c r="AE133" s="129"/>
      <c r="AG133" s="130"/>
      <c r="AH133" s="128"/>
      <c r="AI133" s="129"/>
      <c r="AK133" s="130"/>
      <c r="AL133" s="128"/>
      <c r="AM133" s="129"/>
      <c r="AO133" s="130"/>
      <c r="AP133" s="128"/>
      <c r="AQ133" s="129"/>
      <c r="AS133" s="130"/>
      <c r="AT133" s="128"/>
      <c r="AU133" s="129"/>
      <c r="AW133" s="130"/>
      <c r="AX133" s="85"/>
      <c r="AY133" s="84"/>
      <c r="AZ133" s="84"/>
      <c r="BA133" s="131"/>
      <c r="BB133" s="84"/>
      <c r="BE133" s="84"/>
      <c r="BI133" s="86"/>
      <c r="BO133" s="84"/>
      <c r="BT133" s="84"/>
      <c r="BY133" s="84"/>
      <c r="CD133" s="84"/>
      <c r="CI133" s="128"/>
      <c r="CJ133" s="129"/>
      <c r="CL133" s="132"/>
      <c r="CM133" s="128"/>
      <c r="CN133" s="129"/>
      <c r="CP133" s="132"/>
      <c r="CQ133" s="128"/>
      <c r="CR133" s="129"/>
      <c r="CT133" s="132"/>
      <c r="CU133" s="128"/>
      <c r="CV133" s="129"/>
      <c r="CX133" s="132"/>
      <c r="CY133" s="128"/>
      <c r="CZ133" s="129"/>
      <c r="DB133" s="132"/>
      <c r="DC133" s="128"/>
      <c r="DD133" s="129"/>
      <c r="DF133" s="132"/>
      <c r="DG133" s="85"/>
      <c r="DH133" s="85"/>
      <c r="DI133" s="84"/>
      <c r="DK133" s="84"/>
      <c r="DP133" s="84"/>
      <c r="DU133" s="84"/>
      <c r="DY133" s="84"/>
      <c r="EC133" s="84"/>
      <c r="EG133" s="84"/>
      <c r="EK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128"/>
      <c r="AA134" s="129"/>
      <c r="AC134" s="130"/>
      <c r="AD134" s="128"/>
      <c r="AE134" s="129"/>
      <c r="AG134" s="130"/>
      <c r="AH134" s="128"/>
      <c r="AI134" s="129"/>
      <c r="AK134" s="130"/>
      <c r="AL134" s="128"/>
      <c r="AM134" s="129"/>
      <c r="AO134" s="130"/>
      <c r="AP134" s="128"/>
      <c r="AQ134" s="129"/>
      <c r="AS134" s="130"/>
      <c r="AT134" s="128"/>
      <c r="AU134" s="129"/>
      <c r="AW134" s="130"/>
      <c r="AX134" s="85"/>
      <c r="AY134" s="84"/>
      <c r="AZ134" s="84"/>
      <c r="BA134" s="131"/>
      <c r="BB134" s="84"/>
      <c r="BE134" s="84"/>
      <c r="BI134" s="86"/>
      <c r="BO134" s="84"/>
      <c r="BT134" s="84"/>
      <c r="BY134" s="84"/>
      <c r="CD134" s="84"/>
      <c r="CI134" s="128"/>
      <c r="CJ134" s="129"/>
      <c r="CL134" s="132"/>
      <c r="CM134" s="128"/>
      <c r="CN134" s="129"/>
      <c r="CP134" s="132"/>
      <c r="CQ134" s="128"/>
      <c r="CR134" s="129"/>
      <c r="CT134" s="132"/>
      <c r="CU134" s="128"/>
      <c r="CV134" s="129"/>
      <c r="CX134" s="132"/>
      <c r="CY134" s="128"/>
      <c r="CZ134" s="129"/>
      <c r="DB134" s="132"/>
      <c r="DC134" s="128"/>
      <c r="DD134" s="129"/>
      <c r="DF134" s="132"/>
      <c r="DG134" s="85"/>
      <c r="DH134" s="85"/>
      <c r="DI134" s="84"/>
      <c r="DK134" s="84"/>
      <c r="DP134" s="84"/>
      <c r="DU134" s="84"/>
      <c r="DY134" s="84"/>
      <c r="EC134" s="84"/>
      <c r="EG134" s="84"/>
      <c r="EK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128"/>
      <c r="AA135" s="129"/>
      <c r="AC135" s="130"/>
      <c r="AD135" s="128"/>
      <c r="AE135" s="129"/>
      <c r="AG135" s="130"/>
      <c r="AH135" s="128"/>
      <c r="AI135" s="129"/>
      <c r="AK135" s="130"/>
      <c r="AL135" s="128"/>
      <c r="AM135" s="129"/>
      <c r="AO135" s="130"/>
      <c r="AP135" s="128"/>
      <c r="AQ135" s="129"/>
      <c r="AS135" s="130"/>
      <c r="AT135" s="128"/>
      <c r="AU135" s="129"/>
      <c r="AW135" s="130"/>
      <c r="AX135" s="85"/>
      <c r="AY135" s="84"/>
      <c r="AZ135" s="84"/>
      <c r="BA135" s="131"/>
      <c r="BB135" s="84"/>
      <c r="BE135" s="84"/>
      <c r="BI135" s="86"/>
      <c r="BO135" s="84"/>
      <c r="BT135" s="84"/>
      <c r="BY135" s="84"/>
      <c r="CD135" s="84"/>
      <c r="CI135" s="128"/>
      <c r="CJ135" s="129"/>
      <c r="CL135" s="132"/>
      <c r="CM135" s="128"/>
      <c r="CN135" s="129"/>
      <c r="CP135" s="132"/>
      <c r="CQ135" s="128"/>
      <c r="CR135" s="129"/>
      <c r="CT135" s="132"/>
      <c r="CU135" s="128"/>
      <c r="CV135" s="129"/>
      <c r="CX135" s="132"/>
      <c r="CY135" s="128"/>
      <c r="CZ135" s="129"/>
      <c r="DB135" s="132"/>
      <c r="DC135" s="128"/>
      <c r="DD135" s="129"/>
      <c r="DF135" s="132"/>
      <c r="DG135" s="85"/>
      <c r="DH135" s="85"/>
      <c r="DI135" s="84"/>
      <c r="DK135" s="84"/>
      <c r="DP135" s="84"/>
      <c r="DU135" s="84"/>
      <c r="DY135" s="84"/>
      <c r="EC135" s="84"/>
      <c r="EG135" s="84"/>
      <c r="EK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128"/>
      <c r="AA136" s="129"/>
      <c r="AC136" s="130"/>
      <c r="AD136" s="128"/>
      <c r="AE136" s="129"/>
      <c r="AG136" s="130"/>
      <c r="AH136" s="128"/>
      <c r="AI136" s="129"/>
      <c r="AK136" s="130"/>
      <c r="AL136" s="128"/>
      <c r="AM136" s="129"/>
      <c r="AO136" s="130"/>
      <c r="AP136" s="128"/>
      <c r="AQ136" s="129"/>
      <c r="AS136" s="130"/>
      <c r="AT136" s="128"/>
      <c r="AU136" s="129"/>
      <c r="AW136" s="130"/>
      <c r="AX136" s="85"/>
      <c r="AY136" s="84"/>
      <c r="AZ136" s="84"/>
      <c r="BA136" s="131"/>
      <c r="BB136" s="84"/>
      <c r="BE136" s="84"/>
      <c r="BI136" s="86"/>
      <c r="BO136" s="84"/>
      <c r="BT136" s="84"/>
      <c r="BY136" s="84"/>
      <c r="CD136" s="84"/>
      <c r="CI136" s="128"/>
      <c r="CJ136" s="129"/>
      <c r="CL136" s="132"/>
      <c r="CM136" s="128"/>
      <c r="CN136" s="129"/>
      <c r="CP136" s="132"/>
      <c r="CQ136" s="128"/>
      <c r="CR136" s="129"/>
      <c r="CT136" s="132"/>
      <c r="CU136" s="128"/>
      <c r="CV136" s="129"/>
      <c r="CX136" s="132"/>
      <c r="CY136" s="128"/>
      <c r="CZ136" s="129"/>
      <c r="DB136" s="132"/>
      <c r="DC136" s="128"/>
      <c r="DD136" s="129"/>
      <c r="DF136" s="132"/>
      <c r="DG136" s="85"/>
      <c r="DH136" s="85"/>
      <c r="DI136" s="84"/>
      <c r="DK136" s="84"/>
      <c r="DP136" s="84"/>
      <c r="DU136" s="84"/>
      <c r="DY136" s="84"/>
      <c r="EC136" s="84"/>
      <c r="EG136" s="84"/>
      <c r="EK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128"/>
      <c r="AA137" s="129"/>
      <c r="AC137" s="130"/>
      <c r="AD137" s="128"/>
      <c r="AE137" s="129"/>
      <c r="AG137" s="130"/>
      <c r="AH137" s="128"/>
      <c r="AI137" s="129"/>
      <c r="AK137" s="130"/>
      <c r="AL137" s="128"/>
      <c r="AM137" s="129"/>
      <c r="AO137" s="130"/>
      <c r="AP137" s="128"/>
      <c r="AQ137" s="129"/>
      <c r="AS137" s="130"/>
      <c r="AT137" s="128"/>
      <c r="AU137" s="129"/>
      <c r="AW137" s="130"/>
      <c r="AX137" s="85"/>
      <c r="AY137" s="84"/>
      <c r="AZ137" s="84"/>
      <c r="BA137" s="131"/>
      <c r="BB137" s="84"/>
      <c r="BE137" s="84"/>
      <c r="BI137" s="86"/>
      <c r="BO137" s="84"/>
      <c r="BT137" s="84"/>
      <c r="BY137" s="84"/>
      <c r="CD137" s="84"/>
      <c r="CI137" s="128"/>
      <c r="CJ137" s="129"/>
      <c r="CL137" s="132"/>
      <c r="CM137" s="128"/>
      <c r="CN137" s="129"/>
      <c r="CP137" s="132"/>
      <c r="CQ137" s="128"/>
      <c r="CR137" s="129"/>
      <c r="CT137" s="132"/>
      <c r="CU137" s="128"/>
      <c r="CV137" s="129"/>
      <c r="CX137" s="132"/>
      <c r="CY137" s="128"/>
      <c r="CZ137" s="129"/>
      <c r="DB137" s="132"/>
      <c r="DC137" s="128"/>
      <c r="DD137" s="129"/>
      <c r="DF137" s="132"/>
      <c r="DG137" s="85"/>
      <c r="DH137" s="85"/>
      <c r="DI137" s="84"/>
      <c r="DK137" s="84"/>
      <c r="DP137" s="84"/>
      <c r="DU137" s="84"/>
      <c r="DY137" s="84"/>
      <c r="EC137" s="84"/>
      <c r="EG137" s="84"/>
      <c r="EK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128"/>
      <c r="AA138" s="129"/>
      <c r="AC138" s="130"/>
      <c r="AD138" s="128"/>
      <c r="AE138" s="129"/>
      <c r="AG138" s="130"/>
      <c r="AH138" s="128"/>
      <c r="AI138" s="129"/>
      <c r="AK138" s="130"/>
      <c r="AL138" s="128"/>
      <c r="AM138" s="129"/>
      <c r="AO138" s="130"/>
      <c r="AP138" s="128"/>
      <c r="AQ138" s="129"/>
      <c r="AS138" s="130"/>
      <c r="AT138" s="128"/>
      <c r="AU138" s="129"/>
      <c r="AW138" s="130"/>
      <c r="AX138" s="85"/>
      <c r="AY138" s="84"/>
      <c r="AZ138" s="84"/>
      <c r="BA138" s="131"/>
      <c r="BB138" s="84"/>
      <c r="BE138" s="84"/>
      <c r="BI138" s="86"/>
      <c r="BO138" s="84"/>
      <c r="BT138" s="84"/>
      <c r="BY138" s="84"/>
      <c r="CD138" s="84"/>
      <c r="CI138" s="128"/>
      <c r="CJ138" s="129"/>
      <c r="CL138" s="132"/>
      <c r="CM138" s="128"/>
      <c r="CN138" s="129"/>
      <c r="CP138" s="132"/>
      <c r="CQ138" s="128"/>
      <c r="CR138" s="129"/>
      <c r="CT138" s="132"/>
      <c r="CU138" s="128"/>
      <c r="CV138" s="129"/>
      <c r="CX138" s="132"/>
      <c r="CY138" s="128"/>
      <c r="CZ138" s="129"/>
      <c r="DB138" s="132"/>
      <c r="DC138" s="128"/>
      <c r="DD138" s="129"/>
      <c r="DF138" s="132"/>
      <c r="DG138" s="85"/>
      <c r="DH138" s="85"/>
      <c r="DI138" s="84"/>
      <c r="DK138" s="84"/>
      <c r="DP138" s="84"/>
      <c r="DU138" s="84"/>
      <c r="DY138" s="84"/>
      <c r="EC138" s="84"/>
      <c r="EG138" s="84"/>
      <c r="EK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128"/>
      <c r="AA139" s="129"/>
      <c r="AC139" s="130"/>
      <c r="AD139" s="128"/>
      <c r="AE139" s="129"/>
      <c r="AG139" s="130"/>
      <c r="AH139" s="128"/>
      <c r="AI139" s="129"/>
      <c r="AK139" s="130"/>
      <c r="AL139" s="128"/>
      <c r="AM139" s="129"/>
      <c r="AO139" s="130"/>
      <c r="AP139" s="128"/>
      <c r="AQ139" s="129"/>
      <c r="AS139" s="130"/>
      <c r="AT139" s="128"/>
      <c r="AU139" s="129"/>
      <c r="AW139" s="130"/>
      <c r="AX139" s="85"/>
      <c r="AY139" s="84"/>
      <c r="AZ139" s="84"/>
      <c r="BA139" s="131"/>
      <c r="BB139" s="84"/>
      <c r="BE139" s="84"/>
      <c r="BI139" s="86"/>
      <c r="BO139" s="84"/>
      <c r="BT139" s="84"/>
      <c r="BY139" s="84"/>
      <c r="CD139" s="84"/>
      <c r="CI139" s="128"/>
      <c r="CJ139" s="129"/>
      <c r="CL139" s="132"/>
      <c r="CM139" s="128"/>
      <c r="CN139" s="129"/>
      <c r="CP139" s="132"/>
      <c r="CQ139" s="128"/>
      <c r="CR139" s="129"/>
      <c r="CT139" s="132"/>
      <c r="CU139" s="128"/>
      <c r="CV139" s="129"/>
      <c r="CX139" s="132"/>
      <c r="CY139" s="128"/>
      <c r="CZ139" s="129"/>
      <c r="DB139" s="132"/>
      <c r="DC139" s="128"/>
      <c r="DD139" s="129"/>
      <c r="DF139" s="132"/>
      <c r="DG139" s="85"/>
      <c r="DH139" s="85"/>
      <c r="DI139" s="84"/>
      <c r="DK139" s="84"/>
      <c r="DP139" s="84"/>
      <c r="DU139" s="84"/>
      <c r="DY139" s="84"/>
      <c r="EC139" s="84"/>
      <c r="EG139" s="84"/>
      <c r="EK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128"/>
      <c r="AA140" s="129"/>
      <c r="AC140" s="130"/>
      <c r="AD140" s="128"/>
      <c r="AE140" s="129"/>
      <c r="AG140" s="130"/>
      <c r="AH140" s="128"/>
      <c r="AI140" s="129"/>
      <c r="AK140" s="130"/>
      <c r="AL140" s="128"/>
      <c r="AM140" s="129"/>
      <c r="AO140" s="130"/>
      <c r="AP140" s="128"/>
      <c r="AQ140" s="129"/>
      <c r="AS140" s="130"/>
      <c r="AT140" s="128"/>
      <c r="AU140" s="129"/>
      <c r="AW140" s="130"/>
      <c r="AX140" s="85"/>
      <c r="AY140" s="84"/>
      <c r="AZ140" s="84"/>
      <c r="BA140" s="131"/>
      <c r="BB140" s="84"/>
      <c r="BE140" s="84"/>
      <c r="BI140" s="86"/>
      <c r="BO140" s="84"/>
      <c r="BT140" s="84"/>
      <c r="BY140" s="84"/>
      <c r="CD140" s="84"/>
      <c r="CI140" s="128"/>
      <c r="CJ140" s="129"/>
      <c r="CL140" s="132"/>
      <c r="CM140" s="128"/>
      <c r="CN140" s="129"/>
      <c r="CP140" s="132"/>
      <c r="CQ140" s="128"/>
      <c r="CR140" s="129"/>
      <c r="CT140" s="132"/>
      <c r="CU140" s="128"/>
      <c r="CV140" s="129"/>
      <c r="CX140" s="132"/>
      <c r="CY140" s="128"/>
      <c r="CZ140" s="129"/>
      <c r="DB140" s="132"/>
      <c r="DC140" s="128"/>
      <c r="DD140" s="129"/>
      <c r="DF140" s="132"/>
      <c r="DG140" s="85"/>
      <c r="DH140" s="85"/>
      <c r="DI140" s="84"/>
      <c r="DK140" s="84"/>
      <c r="DP140" s="84"/>
      <c r="DU140" s="84"/>
      <c r="DY140" s="84"/>
      <c r="EC140" s="84"/>
      <c r="EG140" s="84"/>
      <c r="EK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128"/>
      <c r="AA141" s="129"/>
      <c r="AC141" s="130"/>
      <c r="AD141" s="128"/>
      <c r="AE141" s="129"/>
      <c r="AG141" s="130"/>
      <c r="AH141" s="128"/>
      <c r="AI141" s="129"/>
      <c r="AK141" s="130"/>
      <c r="AL141" s="128"/>
      <c r="AM141" s="129"/>
      <c r="AO141" s="130"/>
      <c r="AP141" s="128"/>
      <c r="AQ141" s="129"/>
      <c r="AS141" s="130"/>
      <c r="AT141" s="128"/>
      <c r="AU141" s="129"/>
      <c r="AW141" s="130"/>
      <c r="AX141" s="85"/>
      <c r="AY141" s="84"/>
      <c r="AZ141" s="84"/>
      <c r="BA141" s="131"/>
      <c r="BB141" s="84"/>
      <c r="BE141" s="84"/>
      <c r="BI141" s="86"/>
      <c r="BO141" s="84"/>
      <c r="BT141" s="84"/>
      <c r="BY141" s="84"/>
      <c r="CD141" s="84"/>
      <c r="CI141" s="128"/>
      <c r="CJ141" s="129"/>
      <c r="CL141" s="132"/>
      <c r="CM141" s="128"/>
      <c r="CN141" s="129"/>
      <c r="CP141" s="132"/>
      <c r="CQ141" s="128"/>
      <c r="CR141" s="129"/>
      <c r="CT141" s="132"/>
      <c r="CU141" s="128"/>
      <c r="CV141" s="129"/>
      <c r="CX141" s="132"/>
      <c r="CY141" s="128"/>
      <c r="CZ141" s="129"/>
      <c r="DB141" s="132"/>
      <c r="DC141" s="128"/>
      <c r="DD141" s="129"/>
      <c r="DF141" s="132"/>
      <c r="DG141" s="85"/>
      <c r="DH141" s="85"/>
      <c r="DI141" s="84"/>
      <c r="DK141" s="84"/>
      <c r="DP141" s="84"/>
      <c r="DU141" s="84"/>
      <c r="DY141" s="84"/>
      <c r="EC141" s="84"/>
      <c r="EG141" s="84"/>
      <c r="EK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128"/>
      <c r="AA142" s="129"/>
      <c r="AC142" s="130"/>
      <c r="AD142" s="128"/>
      <c r="AE142" s="129"/>
      <c r="AG142" s="130"/>
      <c r="AH142" s="128"/>
      <c r="AI142" s="129"/>
      <c r="AK142" s="130"/>
      <c r="AL142" s="128"/>
      <c r="AM142" s="129"/>
      <c r="AO142" s="130"/>
      <c r="AP142" s="128"/>
      <c r="AQ142" s="129"/>
      <c r="AS142" s="130"/>
      <c r="AT142" s="128"/>
      <c r="AU142" s="129"/>
      <c r="AW142" s="130"/>
      <c r="AX142" s="85"/>
      <c r="AY142" s="84"/>
      <c r="AZ142" s="84"/>
      <c r="BA142" s="131"/>
      <c r="BB142" s="84"/>
      <c r="BE142" s="84"/>
      <c r="BI142" s="86"/>
      <c r="BO142" s="84"/>
      <c r="BT142" s="84"/>
      <c r="BY142" s="84"/>
      <c r="CD142" s="84"/>
      <c r="CI142" s="128"/>
      <c r="CJ142" s="129"/>
      <c r="CL142" s="132"/>
      <c r="CM142" s="128"/>
      <c r="CN142" s="129"/>
      <c r="CP142" s="132"/>
      <c r="CQ142" s="128"/>
      <c r="CR142" s="129"/>
      <c r="CT142" s="132"/>
      <c r="CU142" s="128"/>
      <c r="CV142" s="129"/>
      <c r="CX142" s="132"/>
      <c r="CY142" s="128"/>
      <c r="CZ142" s="129"/>
      <c r="DB142" s="132"/>
      <c r="DC142" s="128"/>
      <c r="DD142" s="129"/>
      <c r="DF142" s="132"/>
      <c r="DG142" s="85"/>
      <c r="DH142" s="85"/>
      <c r="DI142" s="84"/>
      <c r="DK142" s="84"/>
      <c r="DP142" s="84"/>
      <c r="DU142" s="84"/>
      <c r="DY142" s="84"/>
      <c r="EC142" s="84"/>
      <c r="EG142" s="84"/>
      <c r="EK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128"/>
      <c r="AA143" s="129"/>
      <c r="AC143" s="130"/>
      <c r="AD143" s="128"/>
      <c r="AE143" s="129"/>
      <c r="AG143" s="130"/>
      <c r="AH143" s="128"/>
      <c r="AI143" s="129"/>
      <c r="AK143" s="130"/>
      <c r="AL143" s="128"/>
      <c r="AM143" s="129"/>
      <c r="AO143" s="130"/>
      <c r="AP143" s="128"/>
      <c r="AQ143" s="129"/>
      <c r="AS143" s="130"/>
      <c r="AT143" s="128"/>
      <c r="AU143" s="129"/>
      <c r="AW143" s="130"/>
      <c r="AX143" s="85"/>
      <c r="AY143" s="84"/>
      <c r="AZ143" s="84"/>
      <c r="BA143" s="131"/>
      <c r="BB143" s="84"/>
      <c r="BE143" s="84"/>
      <c r="BI143" s="86"/>
      <c r="BO143" s="84"/>
      <c r="BT143" s="84"/>
      <c r="BY143" s="84"/>
      <c r="CD143" s="84"/>
      <c r="CI143" s="128"/>
      <c r="CJ143" s="129"/>
      <c r="CL143" s="132"/>
      <c r="CM143" s="128"/>
      <c r="CN143" s="129"/>
      <c r="CP143" s="132"/>
      <c r="CQ143" s="128"/>
      <c r="CR143" s="129"/>
      <c r="CT143" s="132"/>
      <c r="CU143" s="128"/>
      <c r="CV143" s="129"/>
      <c r="CX143" s="132"/>
      <c r="CY143" s="128"/>
      <c r="CZ143" s="129"/>
      <c r="DB143" s="132"/>
      <c r="DC143" s="128"/>
      <c r="DD143" s="129"/>
      <c r="DF143" s="132"/>
      <c r="DG143" s="85"/>
      <c r="DH143" s="85"/>
      <c r="DI143" s="84"/>
      <c r="DK143" s="84"/>
      <c r="DP143" s="84"/>
      <c r="DU143" s="84"/>
      <c r="DY143" s="84"/>
      <c r="EC143" s="84"/>
      <c r="EG143" s="84"/>
      <c r="EK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128"/>
      <c r="AA144" s="129"/>
      <c r="AC144" s="130"/>
      <c r="AD144" s="128"/>
      <c r="AE144" s="129"/>
      <c r="AG144" s="130"/>
      <c r="AH144" s="128"/>
      <c r="AI144" s="129"/>
      <c r="AK144" s="130"/>
      <c r="AL144" s="128"/>
      <c r="AM144" s="129"/>
      <c r="AO144" s="130"/>
      <c r="AP144" s="128"/>
      <c r="AQ144" s="129"/>
      <c r="AS144" s="130"/>
      <c r="AT144" s="128"/>
      <c r="AU144" s="129"/>
      <c r="AW144" s="130"/>
      <c r="AX144" s="85"/>
      <c r="AY144" s="84"/>
      <c r="AZ144" s="84"/>
      <c r="BA144" s="131"/>
      <c r="BB144" s="84"/>
      <c r="BE144" s="84"/>
      <c r="BI144" s="86"/>
      <c r="BO144" s="84"/>
      <c r="BT144" s="84"/>
      <c r="BY144" s="84"/>
      <c r="CD144" s="84"/>
      <c r="CI144" s="128"/>
      <c r="CJ144" s="129"/>
      <c r="CL144" s="132"/>
      <c r="CM144" s="128"/>
      <c r="CN144" s="129"/>
      <c r="CP144" s="132"/>
      <c r="CQ144" s="128"/>
      <c r="CR144" s="129"/>
      <c r="CT144" s="132"/>
      <c r="CU144" s="128"/>
      <c r="CV144" s="129"/>
      <c r="CX144" s="132"/>
      <c r="CY144" s="128"/>
      <c r="CZ144" s="129"/>
      <c r="DB144" s="132"/>
      <c r="DC144" s="128"/>
      <c r="DD144" s="129"/>
      <c r="DF144" s="132"/>
      <c r="DG144" s="85"/>
      <c r="DH144" s="85"/>
      <c r="DI144" s="84"/>
      <c r="DK144" s="84"/>
      <c r="DP144" s="84"/>
      <c r="DU144" s="84"/>
      <c r="DY144" s="84"/>
      <c r="EC144" s="84"/>
      <c r="EG144" s="84"/>
      <c r="EK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128"/>
      <c r="AA145" s="129"/>
      <c r="AC145" s="130"/>
      <c r="AD145" s="128"/>
      <c r="AE145" s="129"/>
      <c r="AG145" s="130"/>
      <c r="AH145" s="128"/>
      <c r="AI145" s="129"/>
      <c r="AK145" s="130"/>
      <c r="AL145" s="128"/>
      <c r="AM145" s="129"/>
      <c r="AO145" s="130"/>
      <c r="AP145" s="128"/>
      <c r="AQ145" s="129"/>
      <c r="AS145" s="130"/>
      <c r="AT145" s="128"/>
      <c r="AU145" s="129"/>
      <c r="AW145" s="130"/>
      <c r="AX145" s="85"/>
      <c r="AY145" s="84"/>
      <c r="AZ145" s="84"/>
      <c r="BA145" s="131"/>
      <c r="BB145" s="84"/>
      <c r="BE145" s="84"/>
      <c r="BI145" s="86"/>
      <c r="BO145" s="84"/>
      <c r="BT145" s="84"/>
      <c r="BY145" s="84"/>
      <c r="CD145" s="84"/>
      <c r="CI145" s="128"/>
      <c r="CJ145" s="129"/>
      <c r="CL145" s="132"/>
      <c r="CM145" s="128"/>
      <c r="CN145" s="129"/>
      <c r="CP145" s="132"/>
      <c r="CQ145" s="128"/>
      <c r="CR145" s="129"/>
      <c r="CT145" s="132"/>
      <c r="CU145" s="128"/>
      <c r="CV145" s="129"/>
      <c r="CX145" s="132"/>
      <c r="CY145" s="128"/>
      <c r="CZ145" s="129"/>
      <c r="DB145" s="132"/>
      <c r="DC145" s="128"/>
      <c r="DD145" s="129"/>
      <c r="DF145" s="132"/>
      <c r="DG145" s="85"/>
      <c r="DH145" s="85"/>
      <c r="DI145" s="84"/>
      <c r="DK145" s="84"/>
      <c r="DP145" s="84"/>
      <c r="DU145" s="84"/>
      <c r="DY145" s="84"/>
      <c r="EC145" s="84"/>
      <c r="EG145" s="84"/>
      <c r="EK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128"/>
      <c r="AA146" s="129"/>
      <c r="AC146" s="130"/>
      <c r="AD146" s="128"/>
      <c r="AE146" s="129"/>
      <c r="AG146" s="130"/>
      <c r="AH146" s="128"/>
      <c r="AI146" s="129"/>
      <c r="AK146" s="130"/>
      <c r="AL146" s="128"/>
      <c r="AM146" s="129"/>
      <c r="AO146" s="130"/>
      <c r="AP146" s="128"/>
      <c r="AQ146" s="129"/>
      <c r="AS146" s="130"/>
      <c r="AT146" s="128"/>
      <c r="AU146" s="129"/>
      <c r="AW146" s="130"/>
      <c r="AX146" s="85"/>
      <c r="AY146" s="84"/>
      <c r="AZ146" s="84"/>
      <c r="BA146" s="131"/>
      <c r="BB146" s="84"/>
      <c r="BE146" s="84"/>
      <c r="BI146" s="86"/>
      <c r="BO146" s="84"/>
      <c r="BT146" s="84"/>
      <c r="BY146" s="84"/>
      <c r="CD146" s="84"/>
      <c r="CI146" s="128"/>
      <c r="CJ146" s="129"/>
      <c r="CL146" s="132"/>
      <c r="CM146" s="128"/>
      <c r="CN146" s="129"/>
      <c r="CP146" s="132"/>
      <c r="CQ146" s="128"/>
      <c r="CR146" s="129"/>
      <c r="CT146" s="132"/>
      <c r="CU146" s="128"/>
      <c r="CV146" s="129"/>
      <c r="CX146" s="132"/>
      <c r="CY146" s="128"/>
      <c r="CZ146" s="129"/>
      <c r="DB146" s="132"/>
      <c r="DC146" s="128"/>
      <c r="DD146" s="129"/>
      <c r="DF146" s="132"/>
      <c r="DG146" s="85"/>
      <c r="DH146" s="85"/>
      <c r="DI146" s="84"/>
      <c r="DK146" s="84"/>
      <c r="DP146" s="84"/>
      <c r="DU146" s="84"/>
      <c r="DY146" s="84"/>
      <c r="EC146" s="84"/>
      <c r="EG146" s="84"/>
      <c r="EK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128"/>
      <c r="AA147" s="129"/>
      <c r="AC147" s="130"/>
      <c r="AD147" s="128"/>
      <c r="AE147" s="129"/>
      <c r="AG147" s="130"/>
      <c r="AH147" s="128"/>
      <c r="AI147" s="129"/>
      <c r="AK147" s="130"/>
      <c r="AL147" s="128"/>
      <c r="AM147" s="129"/>
      <c r="AO147" s="130"/>
      <c r="AP147" s="128"/>
      <c r="AQ147" s="129"/>
      <c r="AS147" s="130"/>
      <c r="AT147" s="128"/>
      <c r="AU147" s="129"/>
      <c r="AW147" s="130"/>
      <c r="AX147" s="85"/>
      <c r="AY147" s="84"/>
      <c r="AZ147" s="84"/>
      <c r="BA147" s="131"/>
      <c r="BB147" s="84"/>
      <c r="BE147" s="84"/>
      <c r="BI147" s="86"/>
      <c r="BO147" s="84"/>
      <c r="BT147" s="84"/>
      <c r="BY147" s="84"/>
      <c r="CD147" s="84"/>
      <c r="CI147" s="128"/>
      <c r="CJ147" s="129"/>
      <c r="CL147" s="132"/>
      <c r="CM147" s="128"/>
      <c r="CN147" s="129"/>
      <c r="CP147" s="132"/>
      <c r="CQ147" s="128"/>
      <c r="CR147" s="129"/>
      <c r="CT147" s="132"/>
      <c r="CU147" s="128"/>
      <c r="CV147" s="129"/>
      <c r="CX147" s="132"/>
      <c r="CY147" s="128"/>
      <c r="CZ147" s="129"/>
      <c r="DB147" s="132"/>
      <c r="DC147" s="128"/>
      <c r="DD147" s="129"/>
      <c r="DF147" s="132"/>
      <c r="DG147" s="85"/>
      <c r="DH147" s="85"/>
      <c r="DI147" s="84"/>
      <c r="DK147" s="84"/>
      <c r="DP147" s="84"/>
      <c r="DU147" s="84"/>
      <c r="DY147" s="84"/>
      <c r="EC147" s="84"/>
      <c r="EG147" s="84"/>
      <c r="EK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128"/>
      <c r="AA148" s="129"/>
      <c r="AC148" s="130"/>
      <c r="AD148" s="128"/>
      <c r="AE148" s="129"/>
      <c r="AG148" s="130"/>
      <c r="AH148" s="128"/>
      <c r="AI148" s="129"/>
      <c r="AK148" s="130"/>
      <c r="AL148" s="128"/>
      <c r="AM148" s="129"/>
      <c r="AO148" s="130"/>
      <c r="AP148" s="128"/>
      <c r="AQ148" s="129"/>
      <c r="AS148" s="130"/>
      <c r="AT148" s="128"/>
      <c r="AU148" s="129"/>
      <c r="AW148" s="130"/>
      <c r="AX148" s="85"/>
      <c r="AY148" s="84"/>
      <c r="AZ148" s="84"/>
      <c r="BA148" s="131"/>
      <c r="BB148" s="84"/>
      <c r="BE148" s="84"/>
      <c r="BI148" s="86"/>
      <c r="BO148" s="84"/>
      <c r="BT148" s="84"/>
      <c r="BY148" s="84"/>
      <c r="CD148" s="84"/>
      <c r="CI148" s="128"/>
      <c r="CJ148" s="129"/>
      <c r="CL148" s="132"/>
      <c r="CM148" s="128"/>
      <c r="CN148" s="129"/>
      <c r="CP148" s="132"/>
      <c r="CQ148" s="128"/>
      <c r="CR148" s="129"/>
      <c r="CT148" s="132"/>
      <c r="CU148" s="128"/>
      <c r="CV148" s="129"/>
      <c r="CX148" s="132"/>
      <c r="CY148" s="128"/>
      <c r="CZ148" s="129"/>
      <c r="DB148" s="132"/>
      <c r="DC148" s="128"/>
      <c r="DD148" s="129"/>
      <c r="DF148" s="132"/>
      <c r="DG148" s="85"/>
      <c r="DH148" s="85"/>
      <c r="DI148" s="84"/>
      <c r="DK148" s="84"/>
      <c r="DP148" s="84"/>
      <c r="DU148" s="84"/>
      <c r="DY148" s="84"/>
      <c r="EC148" s="84"/>
      <c r="EG148" s="84"/>
      <c r="EK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128"/>
      <c r="AA149" s="129"/>
      <c r="AC149" s="130"/>
      <c r="AD149" s="128"/>
      <c r="AE149" s="129"/>
      <c r="AG149" s="130"/>
      <c r="AH149" s="128"/>
      <c r="AI149" s="129"/>
      <c r="AK149" s="130"/>
      <c r="AL149" s="128"/>
      <c r="AM149" s="129"/>
      <c r="AO149" s="130"/>
      <c r="AP149" s="128"/>
      <c r="AQ149" s="129"/>
      <c r="AS149" s="130"/>
      <c r="AT149" s="128"/>
      <c r="AU149" s="129"/>
      <c r="AW149" s="130"/>
      <c r="AX149" s="85"/>
      <c r="AY149" s="84"/>
      <c r="AZ149" s="84"/>
      <c r="BA149" s="131"/>
      <c r="BB149" s="84"/>
      <c r="BE149" s="84"/>
      <c r="BI149" s="86"/>
      <c r="BO149" s="84"/>
      <c r="BT149" s="84"/>
      <c r="BY149" s="84"/>
      <c r="CD149" s="84"/>
      <c r="CI149" s="128"/>
      <c r="CJ149" s="129"/>
      <c r="CL149" s="132"/>
      <c r="CM149" s="128"/>
      <c r="CN149" s="129"/>
      <c r="CP149" s="132"/>
      <c r="CQ149" s="128"/>
      <c r="CR149" s="129"/>
      <c r="CT149" s="132"/>
      <c r="CU149" s="128"/>
      <c r="CV149" s="129"/>
      <c r="CX149" s="132"/>
      <c r="CY149" s="128"/>
      <c r="CZ149" s="129"/>
      <c r="DB149" s="132"/>
      <c r="DC149" s="128"/>
      <c r="DD149" s="129"/>
      <c r="DF149" s="132"/>
      <c r="DG149" s="85"/>
      <c r="DH149" s="85"/>
      <c r="DI149" s="84"/>
      <c r="DK149" s="84"/>
      <c r="DP149" s="84"/>
      <c r="DU149" s="84"/>
      <c r="DY149" s="84"/>
      <c r="EC149" s="84"/>
      <c r="EG149" s="84"/>
      <c r="EK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128"/>
      <c r="AA150" s="129"/>
      <c r="AC150" s="130"/>
      <c r="AD150" s="128"/>
      <c r="AE150" s="129"/>
      <c r="AG150" s="130"/>
      <c r="AH150" s="128"/>
      <c r="AI150" s="129"/>
      <c r="AK150" s="130"/>
      <c r="AL150" s="128"/>
      <c r="AM150" s="129"/>
      <c r="AO150" s="130"/>
      <c r="AP150" s="128"/>
      <c r="AQ150" s="129"/>
      <c r="AS150" s="130"/>
      <c r="AT150" s="128"/>
      <c r="AU150" s="129"/>
      <c r="AW150" s="130"/>
      <c r="AX150" s="85"/>
      <c r="AY150" s="84"/>
      <c r="AZ150" s="84"/>
      <c r="BA150" s="131"/>
      <c r="BB150" s="84"/>
      <c r="BE150" s="84"/>
      <c r="BI150" s="86"/>
      <c r="BO150" s="84"/>
      <c r="BT150" s="84"/>
      <c r="BY150" s="84"/>
      <c r="CD150" s="84"/>
      <c r="CI150" s="128"/>
      <c r="CJ150" s="129"/>
      <c r="CL150" s="132"/>
      <c r="CM150" s="128"/>
      <c r="CN150" s="129"/>
      <c r="CP150" s="132"/>
      <c r="CQ150" s="128"/>
      <c r="CR150" s="129"/>
      <c r="CT150" s="132"/>
      <c r="CU150" s="128"/>
      <c r="CV150" s="129"/>
      <c r="CX150" s="132"/>
      <c r="CY150" s="128"/>
      <c r="CZ150" s="129"/>
      <c r="DB150" s="132"/>
      <c r="DC150" s="128"/>
      <c r="DD150" s="129"/>
      <c r="DF150" s="132"/>
      <c r="DG150" s="85"/>
      <c r="DH150" s="85"/>
      <c r="DI150" s="84"/>
      <c r="DK150" s="84"/>
      <c r="DP150" s="84"/>
      <c r="DU150" s="84"/>
      <c r="DY150" s="84"/>
      <c r="EC150" s="84"/>
      <c r="EG150" s="84"/>
      <c r="EK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128"/>
      <c r="AA151" s="129"/>
      <c r="AC151" s="130"/>
      <c r="AD151" s="128"/>
      <c r="AE151" s="129"/>
      <c r="AG151" s="130"/>
      <c r="AH151" s="128"/>
      <c r="AI151" s="129"/>
      <c r="AK151" s="130"/>
      <c r="AL151" s="128"/>
      <c r="AM151" s="129"/>
      <c r="AO151" s="130"/>
      <c r="AP151" s="128"/>
      <c r="AQ151" s="129"/>
      <c r="AS151" s="130"/>
      <c r="AT151" s="128"/>
      <c r="AU151" s="129"/>
      <c r="AW151" s="130"/>
      <c r="AX151" s="85"/>
      <c r="AY151" s="84"/>
      <c r="AZ151" s="84"/>
      <c r="BA151" s="131"/>
      <c r="BB151" s="84"/>
      <c r="BE151" s="84"/>
      <c r="BI151" s="86"/>
      <c r="BO151" s="84"/>
      <c r="BT151" s="84"/>
      <c r="BY151" s="84"/>
      <c r="CD151" s="84"/>
      <c r="CI151" s="128"/>
      <c r="CJ151" s="129"/>
      <c r="CL151" s="132"/>
      <c r="CM151" s="128"/>
      <c r="CN151" s="129"/>
      <c r="CP151" s="132"/>
      <c r="CQ151" s="128"/>
      <c r="CR151" s="129"/>
      <c r="CT151" s="132"/>
      <c r="CU151" s="128"/>
      <c r="CV151" s="129"/>
      <c r="CX151" s="132"/>
      <c r="CY151" s="128"/>
      <c r="CZ151" s="129"/>
      <c r="DB151" s="132"/>
      <c r="DC151" s="128"/>
      <c r="DD151" s="129"/>
      <c r="DF151" s="132"/>
      <c r="DG151" s="85"/>
      <c r="DH151" s="85"/>
      <c r="DI151" s="84"/>
      <c r="DK151" s="84"/>
      <c r="DP151" s="84"/>
      <c r="DU151" s="84"/>
      <c r="DY151" s="84"/>
      <c r="EC151" s="84"/>
      <c r="EG151" s="84"/>
      <c r="EK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128"/>
      <c r="AA152" s="129"/>
      <c r="AC152" s="130"/>
      <c r="AD152" s="128"/>
      <c r="AE152" s="129"/>
      <c r="AG152" s="130"/>
      <c r="AH152" s="128"/>
      <c r="AI152" s="129"/>
      <c r="AK152" s="130"/>
      <c r="AL152" s="128"/>
      <c r="AM152" s="129"/>
      <c r="AO152" s="130"/>
      <c r="AP152" s="128"/>
      <c r="AQ152" s="129"/>
      <c r="AS152" s="130"/>
      <c r="AT152" s="128"/>
      <c r="AU152" s="129"/>
      <c r="AW152" s="130"/>
      <c r="AX152" s="85"/>
      <c r="AY152" s="84"/>
      <c r="AZ152" s="84"/>
      <c r="BA152" s="131"/>
      <c r="BB152" s="84"/>
      <c r="BE152" s="84"/>
      <c r="BI152" s="86"/>
      <c r="BO152" s="84"/>
      <c r="BT152" s="84"/>
      <c r="BY152" s="84"/>
      <c r="CD152" s="84"/>
      <c r="CI152" s="128"/>
      <c r="CJ152" s="129"/>
      <c r="CL152" s="132"/>
      <c r="CM152" s="128"/>
      <c r="CN152" s="129"/>
      <c r="CP152" s="132"/>
      <c r="CQ152" s="128"/>
      <c r="CR152" s="129"/>
      <c r="CT152" s="132"/>
      <c r="CU152" s="128"/>
      <c r="CV152" s="129"/>
      <c r="CX152" s="132"/>
      <c r="CY152" s="128"/>
      <c r="CZ152" s="129"/>
      <c r="DB152" s="132"/>
      <c r="DC152" s="128"/>
      <c r="DD152" s="129"/>
      <c r="DF152" s="132"/>
      <c r="DG152" s="85"/>
      <c r="DH152" s="85"/>
      <c r="DI152" s="84"/>
      <c r="DK152" s="84"/>
      <c r="DP152" s="84"/>
      <c r="DU152" s="84"/>
      <c r="DY152" s="84"/>
      <c r="EC152" s="84"/>
      <c r="EG152" s="84"/>
      <c r="EK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128"/>
      <c r="AA153" s="129"/>
      <c r="AC153" s="130"/>
      <c r="AD153" s="128"/>
      <c r="AE153" s="129"/>
      <c r="AG153" s="130"/>
      <c r="AH153" s="128"/>
      <c r="AI153" s="129"/>
      <c r="AK153" s="130"/>
      <c r="AL153" s="128"/>
      <c r="AM153" s="129"/>
      <c r="AO153" s="130"/>
      <c r="AP153" s="128"/>
      <c r="AQ153" s="129"/>
      <c r="AS153" s="130"/>
      <c r="AT153" s="128"/>
      <c r="AU153" s="129"/>
      <c r="AW153" s="130"/>
      <c r="AX153" s="85"/>
      <c r="AY153" s="84"/>
      <c r="AZ153" s="84"/>
      <c r="BA153" s="131"/>
      <c r="BB153" s="84"/>
      <c r="BE153" s="84"/>
      <c r="BI153" s="86"/>
      <c r="BO153" s="84"/>
      <c r="BT153" s="84"/>
      <c r="BY153" s="84"/>
      <c r="CD153" s="84"/>
      <c r="CI153" s="128"/>
      <c r="CJ153" s="129"/>
      <c r="CL153" s="132"/>
      <c r="CM153" s="128"/>
      <c r="CN153" s="129"/>
      <c r="CP153" s="132"/>
      <c r="CQ153" s="128"/>
      <c r="CR153" s="129"/>
      <c r="CT153" s="132"/>
      <c r="CU153" s="128"/>
      <c r="CV153" s="129"/>
      <c r="CX153" s="132"/>
      <c r="CY153" s="128"/>
      <c r="CZ153" s="129"/>
      <c r="DB153" s="132"/>
      <c r="DC153" s="128"/>
      <c r="DD153" s="129"/>
      <c r="DF153" s="132"/>
      <c r="DG153" s="85"/>
      <c r="DH153" s="85"/>
      <c r="DI153" s="84"/>
      <c r="DK153" s="84"/>
      <c r="DP153" s="84"/>
      <c r="DU153" s="84"/>
      <c r="DY153" s="84"/>
      <c r="EC153" s="84"/>
      <c r="EG153" s="84"/>
      <c r="EK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128"/>
      <c r="AA154" s="129"/>
      <c r="AC154" s="130"/>
      <c r="AD154" s="128"/>
      <c r="AE154" s="129"/>
      <c r="AG154" s="130"/>
      <c r="AH154" s="128"/>
      <c r="AI154" s="129"/>
      <c r="AK154" s="130"/>
      <c r="AL154" s="128"/>
      <c r="AM154" s="129"/>
      <c r="AO154" s="130"/>
      <c r="AP154" s="128"/>
      <c r="AQ154" s="129"/>
      <c r="AS154" s="130"/>
      <c r="AT154" s="128"/>
      <c r="AU154" s="129"/>
      <c r="AW154" s="130"/>
      <c r="AX154" s="85"/>
      <c r="AY154" s="84"/>
      <c r="AZ154" s="84"/>
      <c r="BA154" s="131"/>
      <c r="BB154" s="84"/>
      <c r="BE154" s="84"/>
      <c r="BI154" s="86"/>
      <c r="BO154" s="84"/>
      <c r="BT154" s="84"/>
      <c r="BY154" s="84"/>
      <c r="CD154" s="84"/>
      <c r="CI154" s="128"/>
      <c r="CJ154" s="129"/>
      <c r="CL154" s="132"/>
      <c r="CM154" s="128"/>
      <c r="CN154" s="129"/>
      <c r="CP154" s="132"/>
      <c r="CQ154" s="128"/>
      <c r="CR154" s="129"/>
      <c r="CT154" s="132"/>
      <c r="CU154" s="128"/>
      <c r="CV154" s="129"/>
      <c r="CX154" s="132"/>
      <c r="CY154" s="128"/>
      <c r="CZ154" s="129"/>
      <c r="DB154" s="132"/>
      <c r="DC154" s="128"/>
      <c r="DD154" s="129"/>
      <c r="DF154" s="132"/>
      <c r="DG154" s="85"/>
      <c r="DH154" s="85"/>
      <c r="DI154" s="84"/>
      <c r="DK154" s="84"/>
      <c r="DP154" s="84"/>
      <c r="DU154" s="84"/>
      <c r="DY154" s="84"/>
      <c r="EC154" s="84"/>
      <c r="EG154" s="84"/>
      <c r="EK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128"/>
      <c r="AA155" s="129"/>
      <c r="AC155" s="130"/>
      <c r="AD155" s="128"/>
      <c r="AE155" s="129"/>
      <c r="AG155" s="130"/>
      <c r="AH155" s="128"/>
      <c r="AI155" s="129"/>
      <c r="AK155" s="130"/>
      <c r="AL155" s="128"/>
      <c r="AM155" s="129"/>
      <c r="AO155" s="130"/>
      <c r="AP155" s="128"/>
      <c r="AQ155" s="129"/>
      <c r="AS155" s="130"/>
      <c r="AT155" s="128"/>
      <c r="AU155" s="129"/>
      <c r="AW155" s="130"/>
      <c r="AX155" s="85"/>
      <c r="AY155" s="84"/>
      <c r="AZ155" s="84"/>
      <c r="BA155" s="131"/>
      <c r="BB155" s="84"/>
      <c r="BE155" s="84"/>
      <c r="BI155" s="86"/>
      <c r="BO155" s="84"/>
      <c r="BT155" s="84"/>
      <c r="BY155" s="84"/>
      <c r="CD155" s="84"/>
      <c r="CI155" s="128"/>
      <c r="CJ155" s="129"/>
      <c r="CL155" s="132"/>
      <c r="CM155" s="128"/>
      <c r="CN155" s="129"/>
      <c r="CP155" s="132"/>
      <c r="CQ155" s="128"/>
      <c r="CR155" s="129"/>
      <c r="CT155" s="132"/>
      <c r="CU155" s="128"/>
      <c r="CV155" s="129"/>
      <c r="CX155" s="132"/>
      <c r="CY155" s="128"/>
      <c r="CZ155" s="129"/>
      <c r="DB155" s="132"/>
      <c r="DC155" s="128"/>
      <c r="DD155" s="129"/>
      <c r="DF155" s="132"/>
      <c r="DG155" s="85"/>
      <c r="DH155" s="85"/>
      <c r="DI155" s="84"/>
      <c r="DK155" s="84"/>
      <c r="DP155" s="84"/>
      <c r="DU155" s="84"/>
      <c r="DY155" s="84"/>
      <c r="EC155" s="84"/>
      <c r="EG155" s="84"/>
      <c r="EK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128"/>
      <c r="AA156" s="129"/>
      <c r="AC156" s="130"/>
      <c r="AD156" s="128"/>
      <c r="AE156" s="129"/>
      <c r="AG156" s="130"/>
      <c r="AH156" s="128"/>
      <c r="AI156" s="129"/>
      <c r="AK156" s="130"/>
      <c r="AL156" s="128"/>
      <c r="AM156" s="129"/>
      <c r="AO156" s="130"/>
      <c r="AP156" s="128"/>
      <c r="AQ156" s="129"/>
      <c r="AS156" s="130"/>
      <c r="AT156" s="128"/>
      <c r="AU156" s="129"/>
      <c r="AW156" s="130"/>
      <c r="AX156" s="85"/>
      <c r="AY156" s="84"/>
      <c r="AZ156" s="84"/>
      <c r="BA156" s="131"/>
      <c r="BB156" s="84"/>
      <c r="BE156" s="84"/>
      <c r="BI156" s="86"/>
      <c r="BO156" s="84"/>
      <c r="BT156" s="84"/>
      <c r="BY156" s="84"/>
      <c r="CD156" s="84"/>
      <c r="CI156" s="128"/>
      <c r="CJ156" s="129"/>
      <c r="CL156" s="132"/>
      <c r="CM156" s="128"/>
      <c r="CN156" s="129"/>
      <c r="CP156" s="132"/>
      <c r="CQ156" s="128"/>
      <c r="CR156" s="129"/>
      <c r="CT156" s="132"/>
      <c r="CU156" s="128"/>
      <c r="CV156" s="129"/>
      <c r="CX156" s="132"/>
      <c r="CY156" s="128"/>
      <c r="CZ156" s="129"/>
      <c r="DB156" s="132"/>
      <c r="DC156" s="128"/>
      <c r="DD156" s="129"/>
      <c r="DF156" s="132"/>
      <c r="DG156" s="85"/>
      <c r="DH156" s="85"/>
      <c r="DI156" s="84"/>
      <c r="DK156" s="84"/>
      <c r="DP156" s="84"/>
      <c r="DU156" s="84"/>
      <c r="DY156" s="84"/>
      <c r="EC156" s="84"/>
      <c r="EG156" s="84"/>
      <c r="EK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128"/>
      <c r="AA157" s="129"/>
      <c r="AC157" s="130"/>
      <c r="AD157" s="128"/>
      <c r="AE157" s="129"/>
      <c r="AG157" s="130"/>
      <c r="AH157" s="128"/>
      <c r="AI157" s="129"/>
      <c r="AK157" s="130"/>
      <c r="AL157" s="128"/>
      <c r="AM157" s="129"/>
      <c r="AO157" s="130"/>
      <c r="AP157" s="128"/>
      <c r="AQ157" s="129"/>
      <c r="AS157" s="130"/>
      <c r="AT157" s="128"/>
      <c r="AU157" s="129"/>
      <c r="AW157" s="130"/>
      <c r="AX157" s="85"/>
      <c r="AY157" s="84"/>
      <c r="AZ157" s="84"/>
      <c r="BA157" s="131"/>
      <c r="BB157" s="84"/>
      <c r="BE157" s="84"/>
      <c r="BI157" s="86"/>
      <c r="BO157" s="84"/>
      <c r="BT157" s="84"/>
      <c r="BY157" s="84"/>
      <c r="CD157" s="84"/>
      <c r="CI157" s="128"/>
      <c r="CJ157" s="129"/>
      <c r="CL157" s="132"/>
      <c r="CM157" s="128"/>
      <c r="CN157" s="129"/>
      <c r="CP157" s="132"/>
      <c r="CQ157" s="128"/>
      <c r="CR157" s="129"/>
      <c r="CT157" s="132"/>
      <c r="CU157" s="128"/>
      <c r="CV157" s="129"/>
      <c r="CX157" s="132"/>
      <c r="CY157" s="128"/>
      <c r="CZ157" s="129"/>
      <c r="DB157" s="132"/>
      <c r="DC157" s="128"/>
      <c r="DD157" s="129"/>
      <c r="DF157" s="132"/>
      <c r="DG157" s="85"/>
      <c r="DH157" s="85"/>
      <c r="DI157" s="84"/>
      <c r="DK157" s="84"/>
      <c r="DP157" s="84"/>
      <c r="DU157" s="84"/>
      <c r="DY157" s="84"/>
      <c r="EC157" s="84"/>
      <c r="EG157" s="84"/>
      <c r="EK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128"/>
      <c r="AA158" s="129"/>
      <c r="AC158" s="130"/>
      <c r="AD158" s="128"/>
      <c r="AE158" s="129"/>
      <c r="AG158" s="130"/>
      <c r="AH158" s="128"/>
      <c r="AI158" s="129"/>
      <c r="AK158" s="130"/>
      <c r="AL158" s="128"/>
      <c r="AM158" s="129"/>
      <c r="AO158" s="130"/>
      <c r="AP158" s="128"/>
      <c r="AQ158" s="129"/>
      <c r="AS158" s="130"/>
      <c r="AT158" s="128"/>
      <c r="AU158" s="129"/>
      <c r="AW158" s="130"/>
      <c r="AX158" s="85"/>
      <c r="AY158" s="84"/>
      <c r="AZ158" s="84"/>
      <c r="BA158" s="131"/>
      <c r="BB158" s="84"/>
      <c r="BE158" s="84"/>
      <c r="BI158" s="86"/>
      <c r="BO158" s="84"/>
      <c r="BT158" s="84"/>
      <c r="BY158" s="84"/>
      <c r="CD158" s="84"/>
      <c r="CI158" s="128"/>
      <c r="CJ158" s="129"/>
      <c r="CL158" s="132"/>
      <c r="CM158" s="128"/>
      <c r="CN158" s="129"/>
      <c r="CP158" s="132"/>
      <c r="CQ158" s="128"/>
      <c r="CR158" s="129"/>
      <c r="CT158" s="132"/>
      <c r="CU158" s="128"/>
      <c r="CV158" s="129"/>
      <c r="CX158" s="132"/>
      <c r="CY158" s="128"/>
      <c r="CZ158" s="129"/>
      <c r="DB158" s="132"/>
      <c r="DC158" s="128"/>
      <c r="DD158" s="129"/>
      <c r="DF158" s="132"/>
      <c r="DG158" s="85"/>
      <c r="DH158" s="85"/>
      <c r="DI158" s="84"/>
      <c r="DK158" s="84"/>
      <c r="DP158" s="84"/>
      <c r="DU158" s="84"/>
      <c r="DY158" s="84"/>
      <c r="EC158" s="84"/>
      <c r="EG158" s="84"/>
      <c r="EK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128"/>
      <c r="AA159" s="129"/>
      <c r="AC159" s="130"/>
      <c r="AD159" s="128"/>
      <c r="AE159" s="129"/>
      <c r="AG159" s="130"/>
      <c r="AH159" s="128"/>
      <c r="AI159" s="129"/>
      <c r="AK159" s="130"/>
      <c r="AL159" s="128"/>
      <c r="AM159" s="129"/>
      <c r="AO159" s="130"/>
      <c r="AP159" s="128"/>
      <c r="AQ159" s="129"/>
      <c r="AS159" s="130"/>
      <c r="AT159" s="128"/>
      <c r="AU159" s="129"/>
      <c r="AW159" s="130"/>
      <c r="AX159" s="85"/>
      <c r="AY159" s="84"/>
      <c r="AZ159" s="84"/>
      <c r="BA159" s="131"/>
      <c r="BB159" s="84"/>
      <c r="BE159" s="84"/>
      <c r="BI159" s="86"/>
      <c r="BO159" s="84"/>
      <c r="BT159" s="84"/>
      <c r="BY159" s="84"/>
      <c r="CD159" s="84"/>
      <c r="CI159" s="128"/>
      <c r="CJ159" s="129"/>
      <c r="CL159" s="132"/>
      <c r="CM159" s="128"/>
      <c r="CN159" s="129"/>
      <c r="CP159" s="132"/>
      <c r="CQ159" s="128"/>
      <c r="CR159" s="129"/>
      <c r="CT159" s="132"/>
      <c r="CU159" s="128"/>
      <c r="CV159" s="129"/>
      <c r="CX159" s="132"/>
      <c r="CY159" s="128"/>
      <c r="CZ159" s="129"/>
      <c r="DB159" s="132"/>
      <c r="DC159" s="128"/>
      <c r="DD159" s="129"/>
      <c r="DF159" s="132"/>
      <c r="DG159" s="85"/>
      <c r="DH159" s="85"/>
      <c r="DI159" s="84"/>
      <c r="DK159" s="84"/>
      <c r="DP159" s="84"/>
      <c r="DU159" s="84"/>
      <c r="DY159" s="84"/>
      <c r="EC159" s="84"/>
      <c r="EG159" s="84"/>
      <c r="EK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128"/>
      <c r="AA160" s="129"/>
      <c r="AC160" s="130"/>
      <c r="AD160" s="128"/>
      <c r="AE160" s="129"/>
      <c r="AG160" s="130"/>
      <c r="AH160" s="128"/>
      <c r="AI160" s="129"/>
      <c r="AK160" s="130"/>
      <c r="AL160" s="128"/>
      <c r="AM160" s="129"/>
      <c r="AO160" s="130"/>
      <c r="AP160" s="128"/>
      <c r="AQ160" s="129"/>
      <c r="AS160" s="130"/>
      <c r="AT160" s="128"/>
      <c r="AU160" s="129"/>
      <c r="AW160" s="130"/>
      <c r="AX160" s="85"/>
      <c r="AY160" s="84"/>
      <c r="AZ160" s="84"/>
      <c r="BA160" s="131"/>
      <c r="BB160" s="84"/>
      <c r="BE160" s="84"/>
      <c r="BI160" s="86"/>
      <c r="BO160" s="84"/>
      <c r="BT160" s="84"/>
      <c r="BY160" s="84"/>
      <c r="CD160" s="84"/>
      <c r="CI160" s="128"/>
      <c r="CJ160" s="129"/>
      <c r="CL160" s="132"/>
      <c r="CM160" s="128"/>
      <c r="CN160" s="129"/>
      <c r="CP160" s="132"/>
      <c r="CQ160" s="128"/>
      <c r="CR160" s="129"/>
      <c r="CT160" s="132"/>
      <c r="CU160" s="128"/>
      <c r="CV160" s="129"/>
      <c r="CX160" s="132"/>
      <c r="CY160" s="128"/>
      <c r="CZ160" s="129"/>
      <c r="DB160" s="132"/>
      <c r="DC160" s="128"/>
      <c r="DD160" s="129"/>
      <c r="DF160" s="132"/>
      <c r="DG160" s="85"/>
      <c r="DH160" s="85"/>
      <c r="DI160" s="84"/>
      <c r="DK160" s="84"/>
      <c r="DP160" s="84"/>
      <c r="DU160" s="84"/>
      <c r="DY160" s="84"/>
      <c r="EC160" s="84"/>
      <c r="EG160" s="84"/>
      <c r="EK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128"/>
      <c r="AA161" s="129"/>
      <c r="AC161" s="130"/>
      <c r="AD161" s="128"/>
      <c r="AE161" s="129"/>
      <c r="AG161" s="130"/>
      <c r="AH161" s="128"/>
      <c r="AI161" s="129"/>
      <c r="AK161" s="130"/>
      <c r="AL161" s="128"/>
      <c r="AM161" s="129"/>
      <c r="AO161" s="130"/>
      <c r="AP161" s="128"/>
      <c r="AQ161" s="129"/>
      <c r="AS161" s="130"/>
      <c r="AT161" s="128"/>
      <c r="AU161" s="129"/>
      <c r="AW161" s="130"/>
      <c r="AX161" s="85"/>
      <c r="AY161" s="84"/>
      <c r="AZ161" s="84"/>
      <c r="BA161" s="131"/>
      <c r="BB161" s="84"/>
      <c r="BE161" s="84"/>
      <c r="BI161" s="86"/>
      <c r="BO161" s="84"/>
      <c r="BT161" s="84"/>
      <c r="BY161" s="84"/>
      <c r="CD161" s="84"/>
      <c r="CI161" s="128"/>
      <c r="CJ161" s="129"/>
      <c r="CL161" s="132"/>
      <c r="CM161" s="128"/>
      <c r="CN161" s="129"/>
      <c r="CP161" s="132"/>
      <c r="CQ161" s="128"/>
      <c r="CR161" s="129"/>
      <c r="CT161" s="132"/>
      <c r="CU161" s="128"/>
      <c r="CV161" s="129"/>
      <c r="CX161" s="132"/>
      <c r="CY161" s="128"/>
      <c r="CZ161" s="129"/>
      <c r="DB161" s="132"/>
      <c r="DC161" s="128"/>
      <c r="DD161" s="129"/>
      <c r="DF161" s="132"/>
      <c r="DG161" s="85"/>
      <c r="DH161" s="85"/>
      <c r="DI161" s="84"/>
      <c r="DK161" s="84"/>
      <c r="DP161" s="84"/>
      <c r="DU161" s="84"/>
      <c r="DY161" s="84"/>
      <c r="EC161" s="84"/>
      <c r="EG161" s="84"/>
      <c r="EK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128"/>
      <c r="AA162" s="129"/>
      <c r="AC162" s="130"/>
      <c r="AD162" s="128"/>
      <c r="AE162" s="129"/>
      <c r="AG162" s="130"/>
      <c r="AH162" s="128"/>
      <c r="AI162" s="129"/>
      <c r="AK162" s="130"/>
      <c r="AL162" s="128"/>
      <c r="AM162" s="129"/>
      <c r="AO162" s="130"/>
      <c r="AP162" s="128"/>
      <c r="AQ162" s="129"/>
      <c r="AS162" s="130"/>
      <c r="AT162" s="128"/>
      <c r="AU162" s="129"/>
      <c r="AW162" s="130"/>
      <c r="AX162" s="85"/>
      <c r="AY162" s="84"/>
      <c r="AZ162" s="84"/>
      <c r="BA162" s="131"/>
      <c r="BB162" s="84"/>
      <c r="BE162" s="84"/>
      <c r="BI162" s="86"/>
      <c r="BO162" s="84"/>
      <c r="BT162" s="84"/>
      <c r="BY162" s="84"/>
      <c r="CD162" s="84"/>
      <c r="CI162" s="128"/>
      <c r="CJ162" s="129"/>
      <c r="CL162" s="132"/>
      <c r="CM162" s="128"/>
      <c r="CN162" s="129"/>
      <c r="CP162" s="132"/>
      <c r="CQ162" s="128"/>
      <c r="CR162" s="129"/>
      <c r="CT162" s="132"/>
      <c r="CU162" s="128"/>
      <c r="CV162" s="129"/>
      <c r="CX162" s="132"/>
      <c r="CY162" s="128"/>
      <c r="CZ162" s="129"/>
      <c r="DB162" s="132"/>
      <c r="DC162" s="128"/>
      <c r="DD162" s="129"/>
      <c r="DF162" s="132"/>
      <c r="DG162" s="85"/>
      <c r="DH162" s="85"/>
      <c r="DI162" s="84"/>
      <c r="DK162" s="84"/>
      <c r="DP162" s="84"/>
      <c r="DU162" s="84"/>
      <c r="DY162" s="84"/>
      <c r="EC162" s="84"/>
      <c r="EG162" s="84"/>
      <c r="EK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128"/>
      <c r="AA163" s="129"/>
      <c r="AC163" s="130"/>
      <c r="AD163" s="128"/>
      <c r="AE163" s="129"/>
      <c r="AG163" s="130"/>
      <c r="AH163" s="128"/>
      <c r="AI163" s="129"/>
      <c r="AK163" s="130"/>
      <c r="AL163" s="128"/>
      <c r="AM163" s="129"/>
      <c r="AO163" s="130"/>
      <c r="AP163" s="128"/>
      <c r="AQ163" s="129"/>
      <c r="AS163" s="130"/>
      <c r="AT163" s="128"/>
      <c r="AU163" s="129"/>
      <c r="AW163" s="130"/>
      <c r="AX163" s="85"/>
      <c r="AY163" s="84"/>
      <c r="AZ163" s="84"/>
      <c r="BA163" s="131"/>
      <c r="BB163" s="84"/>
      <c r="BE163" s="84"/>
      <c r="BI163" s="86"/>
      <c r="BO163" s="84"/>
      <c r="BT163" s="84"/>
      <c r="BY163" s="84"/>
      <c r="CD163" s="84"/>
      <c r="CI163" s="128"/>
      <c r="CJ163" s="129"/>
      <c r="CL163" s="132"/>
      <c r="CM163" s="128"/>
      <c r="CN163" s="129"/>
      <c r="CP163" s="132"/>
      <c r="CQ163" s="128"/>
      <c r="CR163" s="129"/>
      <c r="CT163" s="132"/>
      <c r="CU163" s="128"/>
      <c r="CV163" s="129"/>
      <c r="CX163" s="132"/>
      <c r="CY163" s="128"/>
      <c r="CZ163" s="129"/>
      <c r="DB163" s="132"/>
      <c r="DC163" s="128"/>
      <c r="DD163" s="129"/>
      <c r="DF163" s="132"/>
      <c r="DG163" s="85"/>
      <c r="DH163" s="85"/>
      <c r="DI163" s="84"/>
      <c r="DK163" s="84"/>
      <c r="DP163" s="84"/>
      <c r="DU163" s="84"/>
      <c r="DY163" s="84"/>
      <c r="EC163" s="84"/>
      <c r="EG163" s="84"/>
      <c r="EK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128"/>
      <c r="AA164" s="129"/>
      <c r="AC164" s="130"/>
      <c r="AD164" s="128"/>
      <c r="AE164" s="129"/>
      <c r="AG164" s="130"/>
      <c r="AH164" s="128"/>
      <c r="AI164" s="129"/>
      <c r="AK164" s="130"/>
      <c r="AL164" s="128"/>
      <c r="AM164" s="129"/>
      <c r="AO164" s="130"/>
      <c r="AP164" s="128"/>
      <c r="AQ164" s="129"/>
      <c r="AS164" s="130"/>
      <c r="AT164" s="128"/>
      <c r="AU164" s="129"/>
      <c r="AW164" s="130"/>
      <c r="AX164" s="85"/>
      <c r="AY164" s="84"/>
      <c r="AZ164" s="84"/>
      <c r="BA164" s="131"/>
      <c r="BB164" s="84"/>
      <c r="BE164" s="84"/>
      <c r="BI164" s="86"/>
      <c r="BO164" s="84"/>
      <c r="BT164" s="84"/>
      <c r="BY164" s="84"/>
      <c r="CD164" s="84"/>
      <c r="CI164" s="128"/>
      <c r="CJ164" s="129"/>
      <c r="CL164" s="132"/>
      <c r="CM164" s="128"/>
      <c r="CN164" s="129"/>
      <c r="CP164" s="132"/>
      <c r="CQ164" s="128"/>
      <c r="CR164" s="129"/>
      <c r="CT164" s="132"/>
      <c r="CU164" s="128"/>
      <c r="CV164" s="129"/>
      <c r="CX164" s="132"/>
      <c r="CY164" s="128"/>
      <c r="CZ164" s="129"/>
      <c r="DB164" s="132"/>
      <c r="DC164" s="128"/>
      <c r="DD164" s="129"/>
      <c r="DF164" s="132"/>
      <c r="DG164" s="85"/>
      <c r="DH164" s="85"/>
      <c r="DI164" s="84"/>
      <c r="DK164" s="84"/>
      <c r="DP164" s="84"/>
      <c r="DU164" s="84"/>
      <c r="DY164" s="84"/>
      <c r="EC164" s="84"/>
      <c r="EG164" s="84"/>
      <c r="EK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128"/>
      <c r="AA165" s="129"/>
      <c r="AC165" s="130"/>
      <c r="AD165" s="128"/>
      <c r="AE165" s="129"/>
      <c r="AG165" s="130"/>
      <c r="AH165" s="128"/>
      <c r="AI165" s="129"/>
      <c r="AK165" s="130"/>
      <c r="AL165" s="128"/>
      <c r="AM165" s="129"/>
      <c r="AO165" s="130"/>
      <c r="AP165" s="128"/>
      <c r="AQ165" s="129"/>
      <c r="AS165" s="130"/>
      <c r="AT165" s="128"/>
      <c r="AU165" s="129"/>
      <c r="AW165" s="130"/>
      <c r="AX165" s="85"/>
      <c r="AY165" s="84"/>
      <c r="AZ165" s="84"/>
      <c r="BA165" s="131"/>
      <c r="BB165" s="84"/>
      <c r="BE165" s="84"/>
      <c r="BI165" s="86"/>
      <c r="BO165" s="84"/>
      <c r="BT165" s="84"/>
      <c r="BY165" s="84"/>
      <c r="CD165" s="84"/>
      <c r="CI165" s="128"/>
      <c r="CJ165" s="129"/>
      <c r="CL165" s="132"/>
      <c r="CM165" s="128"/>
      <c r="CN165" s="129"/>
      <c r="CP165" s="132"/>
      <c r="CQ165" s="128"/>
      <c r="CR165" s="129"/>
      <c r="CT165" s="132"/>
      <c r="CU165" s="128"/>
      <c r="CV165" s="129"/>
      <c r="CX165" s="132"/>
      <c r="CY165" s="128"/>
      <c r="CZ165" s="129"/>
      <c r="DB165" s="132"/>
      <c r="DC165" s="128"/>
      <c r="DD165" s="129"/>
      <c r="DF165" s="132"/>
      <c r="DG165" s="85"/>
      <c r="DH165" s="85"/>
      <c r="DI165" s="84"/>
      <c r="DK165" s="84"/>
      <c r="DP165" s="84"/>
      <c r="DU165" s="84"/>
      <c r="DY165" s="84"/>
      <c r="EC165" s="84"/>
      <c r="EG165" s="84"/>
      <c r="EK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128"/>
      <c r="AA166" s="129"/>
      <c r="AC166" s="130"/>
      <c r="AD166" s="128"/>
      <c r="AE166" s="129"/>
      <c r="AG166" s="130"/>
      <c r="AH166" s="128"/>
      <c r="AI166" s="129"/>
      <c r="AK166" s="130"/>
      <c r="AL166" s="128"/>
      <c r="AM166" s="129"/>
      <c r="AO166" s="130"/>
      <c r="AP166" s="128"/>
      <c r="AQ166" s="129"/>
      <c r="AS166" s="130"/>
      <c r="AT166" s="128"/>
      <c r="AU166" s="129"/>
      <c r="AW166" s="130"/>
      <c r="AX166" s="85"/>
      <c r="AY166" s="84"/>
      <c r="AZ166" s="84"/>
      <c r="BA166" s="131"/>
      <c r="BB166" s="84"/>
      <c r="BE166" s="84"/>
      <c r="BI166" s="86"/>
      <c r="BO166" s="84"/>
      <c r="BT166" s="84"/>
      <c r="BY166" s="84"/>
      <c r="CD166" s="84"/>
      <c r="CI166" s="128"/>
      <c r="CJ166" s="129"/>
      <c r="CL166" s="132"/>
      <c r="CM166" s="128"/>
      <c r="CN166" s="129"/>
      <c r="CP166" s="132"/>
      <c r="CQ166" s="128"/>
      <c r="CR166" s="129"/>
      <c r="CT166" s="132"/>
      <c r="CU166" s="128"/>
      <c r="CV166" s="129"/>
      <c r="CX166" s="132"/>
      <c r="CY166" s="128"/>
      <c r="CZ166" s="129"/>
      <c r="DB166" s="132"/>
      <c r="DC166" s="128"/>
      <c r="DD166" s="129"/>
      <c r="DF166" s="132"/>
      <c r="DG166" s="85"/>
      <c r="DH166" s="85"/>
      <c r="DI166" s="84"/>
      <c r="DK166" s="84"/>
      <c r="DP166" s="84"/>
      <c r="DU166" s="84"/>
      <c r="DY166" s="84"/>
      <c r="EC166" s="84"/>
      <c r="EG166" s="84"/>
      <c r="EK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128"/>
      <c r="AA167" s="129"/>
      <c r="AC167" s="130"/>
      <c r="AD167" s="128"/>
      <c r="AE167" s="129"/>
      <c r="AG167" s="130"/>
      <c r="AH167" s="128"/>
      <c r="AI167" s="129"/>
      <c r="AK167" s="130"/>
      <c r="AL167" s="128"/>
      <c r="AM167" s="129"/>
      <c r="AO167" s="130"/>
      <c r="AP167" s="128"/>
      <c r="AQ167" s="129"/>
      <c r="AS167" s="130"/>
      <c r="AT167" s="128"/>
      <c r="AU167" s="129"/>
      <c r="AW167" s="130"/>
      <c r="AX167" s="85"/>
      <c r="AY167" s="84"/>
      <c r="AZ167" s="84"/>
      <c r="BA167" s="131"/>
      <c r="BB167" s="84"/>
      <c r="BE167" s="84"/>
      <c r="BI167" s="86"/>
      <c r="BO167" s="84"/>
      <c r="BT167" s="84"/>
      <c r="BY167" s="84"/>
      <c r="CD167" s="84"/>
      <c r="CI167" s="128"/>
      <c r="CJ167" s="129"/>
      <c r="CL167" s="132"/>
      <c r="CM167" s="128"/>
      <c r="CN167" s="129"/>
      <c r="CP167" s="132"/>
      <c r="CQ167" s="128"/>
      <c r="CR167" s="129"/>
      <c r="CT167" s="132"/>
      <c r="CU167" s="128"/>
      <c r="CV167" s="129"/>
      <c r="CX167" s="132"/>
      <c r="CY167" s="128"/>
      <c r="CZ167" s="129"/>
      <c r="DB167" s="132"/>
      <c r="DC167" s="128"/>
      <c r="DD167" s="129"/>
      <c r="DF167" s="132"/>
      <c r="DG167" s="85"/>
      <c r="DH167" s="85"/>
      <c r="DI167" s="84"/>
      <c r="DK167" s="84"/>
      <c r="DP167" s="84"/>
      <c r="DU167" s="84"/>
      <c r="DY167" s="84"/>
      <c r="EC167" s="84"/>
      <c r="EG167" s="84"/>
      <c r="EK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128"/>
      <c r="AA168" s="129"/>
      <c r="AC168" s="130"/>
      <c r="AD168" s="128"/>
      <c r="AE168" s="129"/>
      <c r="AG168" s="130"/>
      <c r="AH168" s="128"/>
      <c r="AI168" s="129"/>
      <c r="AK168" s="130"/>
      <c r="AL168" s="128"/>
      <c r="AM168" s="129"/>
      <c r="AO168" s="130"/>
      <c r="AP168" s="128"/>
      <c r="AQ168" s="129"/>
      <c r="AS168" s="130"/>
      <c r="AT168" s="128"/>
      <c r="AU168" s="129"/>
      <c r="AW168" s="130"/>
      <c r="AX168" s="85"/>
      <c r="AY168" s="84"/>
      <c r="AZ168" s="84"/>
      <c r="BA168" s="131"/>
      <c r="BB168" s="84"/>
      <c r="BE168" s="84"/>
      <c r="BI168" s="86"/>
      <c r="BO168" s="84"/>
      <c r="BT168" s="84"/>
      <c r="BY168" s="84"/>
      <c r="CD168" s="84"/>
      <c r="CI168" s="128"/>
      <c r="CJ168" s="129"/>
      <c r="CL168" s="132"/>
      <c r="CM168" s="128"/>
      <c r="CN168" s="129"/>
      <c r="CP168" s="132"/>
      <c r="CQ168" s="128"/>
      <c r="CR168" s="129"/>
      <c r="CT168" s="132"/>
      <c r="CU168" s="128"/>
      <c r="CV168" s="129"/>
      <c r="CX168" s="132"/>
      <c r="CY168" s="128"/>
      <c r="CZ168" s="129"/>
      <c r="DB168" s="132"/>
      <c r="DC168" s="128"/>
      <c r="DD168" s="129"/>
      <c r="DF168" s="132"/>
      <c r="DG168" s="85"/>
      <c r="DH168" s="85"/>
      <c r="DI168" s="84"/>
      <c r="DK168" s="84"/>
      <c r="DP168" s="84"/>
      <c r="DU168" s="84"/>
      <c r="DY168" s="84"/>
      <c r="EC168" s="84"/>
      <c r="EG168" s="84"/>
      <c r="EK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128"/>
      <c r="AA169" s="129"/>
      <c r="AC169" s="130"/>
      <c r="AD169" s="128"/>
      <c r="AE169" s="129"/>
      <c r="AG169" s="130"/>
      <c r="AH169" s="128"/>
      <c r="AI169" s="129"/>
      <c r="AK169" s="130"/>
      <c r="AL169" s="128"/>
      <c r="AM169" s="129"/>
      <c r="AO169" s="130"/>
      <c r="AP169" s="128"/>
      <c r="AQ169" s="129"/>
      <c r="AS169" s="130"/>
      <c r="AT169" s="128"/>
      <c r="AU169" s="129"/>
      <c r="AW169" s="130"/>
      <c r="AX169" s="85"/>
      <c r="AY169" s="84"/>
      <c r="AZ169" s="84"/>
      <c r="BA169" s="131"/>
      <c r="BB169" s="84"/>
      <c r="BE169" s="84"/>
      <c r="BI169" s="86"/>
      <c r="BO169" s="84"/>
      <c r="BT169" s="84"/>
      <c r="BY169" s="84"/>
      <c r="CD169" s="84"/>
      <c r="CI169" s="128"/>
      <c r="CJ169" s="129"/>
      <c r="CL169" s="132"/>
      <c r="CM169" s="128"/>
      <c r="CN169" s="129"/>
      <c r="CP169" s="132"/>
      <c r="CQ169" s="128"/>
      <c r="CR169" s="129"/>
      <c r="CT169" s="132"/>
      <c r="CU169" s="128"/>
      <c r="CV169" s="129"/>
      <c r="CX169" s="132"/>
      <c r="CY169" s="128"/>
      <c r="CZ169" s="129"/>
      <c r="DB169" s="132"/>
      <c r="DC169" s="128"/>
      <c r="DD169" s="129"/>
      <c r="DF169" s="132"/>
      <c r="DG169" s="85"/>
      <c r="DH169" s="85"/>
      <c r="DI169" s="84"/>
      <c r="DK169" s="84"/>
      <c r="DP169" s="84"/>
      <c r="DU169" s="84"/>
      <c r="DY169" s="84"/>
      <c r="EC169" s="84"/>
      <c r="EG169" s="84"/>
      <c r="EK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128"/>
      <c r="AA170" s="129"/>
      <c r="AC170" s="130"/>
      <c r="AD170" s="128"/>
      <c r="AE170" s="129"/>
      <c r="AG170" s="130"/>
      <c r="AH170" s="128"/>
      <c r="AI170" s="129"/>
      <c r="AK170" s="130"/>
      <c r="AL170" s="128"/>
      <c r="AM170" s="129"/>
      <c r="AO170" s="130"/>
      <c r="AP170" s="128"/>
      <c r="AQ170" s="129"/>
      <c r="AS170" s="130"/>
      <c r="AT170" s="128"/>
      <c r="AU170" s="129"/>
      <c r="AW170" s="130"/>
      <c r="AX170" s="85"/>
      <c r="AY170" s="84"/>
      <c r="AZ170" s="84"/>
      <c r="BA170" s="131"/>
      <c r="BB170" s="84"/>
      <c r="BE170" s="84"/>
      <c r="BI170" s="86"/>
      <c r="BO170" s="84"/>
      <c r="BT170" s="84"/>
      <c r="BY170" s="84"/>
      <c r="CD170" s="84"/>
      <c r="CI170" s="128"/>
      <c r="CJ170" s="129"/>
      <c r="CL170" s="132"/>
      <c r="CM170" s="128"/>
      <c r="CN170" s="129"/>
      <c r="CP170" s="132"/>
      <c r="CQ170" s="128"/>
      <c r="CR170" s="129"/>
      <c r="CT170" s="132"/>
      <c r="CU170" s="128"/>
      <c r="CV170" s="129"/>
      <c r="CX170" s="132"/>
      <c r="CY170" s="128"/>
      <c r="CZ170" s="129"/>
      <c r="DB170" s="132"/>
      <c r="DC170" s="128"/>
      <c r="DD170" s="129"/>
      <c r="DF170" s="132"/>
      <c r="DG170" s="85"/>
      <c r="DH170" s="85"/>
      <c r="DI170" s="84"/>
      <c r="DK170" s="84"/>
      <c r="DP170" s="84"/>
      <c r="DU170" s="84"/>
      <c r="DY170" s="84"/>
      <c r="EC170" s="84"/>
      <c r="EG170" s="84"/>
      <c r="EK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128"/>
      <c r="AA171" s="129"/>
      <c r="AC171" s="130"/>
      <c r="AD171" s="128"/>
      <c r="AE171" s="129"/>
      <c r="AG171" s="130"/>
      <c r="AH171" s="128"/>
      <c r="AI171" s="129"/>
      <c r="AK171" s="130"/>
      <c r="AL171" s="128"/>
      <c r="AM171" s="129"/>
      <c r="AO171" s="130"/>
      <c r="AP171" s="128"/>
      <c r="AQ171" s="129"/>
      <c r="AS171" s="130"/>
      <c r="AT171" s="128"/>
      <c r="AU171" s="129"/>
      <c r="AW171" s="130"/>
      <c r="AX171" s="85"/>
      <c r="AY171" s="84"/>
      <c r="AZ171" s="84"/>
      <c r="BA171" s="131"/>
      <c r="BB171" s="84"/>
      <c r="BE171" s="84"/>
      <c r="BI171" s="86"/>
      <c r="BO171" s="84"/>
      <c r="BT171" s="84"/>
      <c r="BY171" s="84"/>
      <c r="CD171" s="84"/>
      <c r="CI171" s="128"/>
      <c r="CJ171" s="129"/>
      <c r="CL171" s="132"/>
      <c r="CM171" s="128"/>
      <c r="CN171" s="129"/>
      <c r="CP171" s="132"/>
      <c r="CQ171" s="128"/>
      <c r="CR171" s="129"/>
      <c r="CT171" s="132"/>
      <c r="CU171" s="128"/>
      <c r="CV171" s="129"/>
      <c r="CX171" s="132"/>
      <c r="CY171" s="128"/>
      <c r="CZ171" s="129"/>
      <c r="DB171" s="132"/>
      <c r="DC171" s="128"/>
      <c r="DD171" s="129"/>
      <c r="DF171" s="132"/>
      <c r="DG171" s="85"/>
      <c r="DH171" s="85"/>
      <c r="DI171" s="84"/>
      <c r="DK171" s="84"/>
      <c r="DP171" s="84"/>
      <c r="DU171" s="84"/>
      <c r="DY171" s="84"/>
      <c r="EC171" s="84"/>
      <c r="EG171" s="84"/>
      <c r="EK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128"/>
      <c r="AA172" s="129"/>
      <c r="AC172" s="130"/>
      <c r="AD172" s="128"/>
      <c r="AE172" s="129"/>
      <c r="AG172" s="130"/>
      <c r="AH172" s="128"/>
      <c r="AI172" s="129"/>
      <c r="AK172" s="130"/>
      <c r="AL172" s="128"/>
      <c r="AM172" s="129"/>
      <c r="AO172" s="130"/>
      <c r="AP172" s="128"/>
      <c r="AQ172" s="129"/>
      <c r="AS172" s="130"/>
      <c r="AT172" s="128"/>
      <c r="AU172" s="129"/>
      <c r="AW172" s="130"/>
      <c r="AX172" s="85"/>
      <c r="AY172" s="84"/>
      <c r="AZ172" s="84"/>
      <c r="BA172" s="131"/>
      <c r="BB172" s="84"/>
      <c r="BE172" s="84"/>
      <c r="BI172" s="86"/>
      <c r="BO172" s="84"/>
      <c r="BT172" s="84"/>
      <c r="BY172" s="84"/>
      <c r="CD172" s="84"/>
      <c r="CI172" s="128"/>
      <c r="CJ172" s="129"/>
      <c r="CL172" s="132"/>
      <c r="CM172" s="128"/>
      <c r="CN172" s="129"/>
      <c r="CP172" s="132"/>
      <c r="CQ172" s="128"/>
      <c r="CR172" s="129"/>
      <c r="CT172" s="132"/>
      <c r="CU172" s="128"/>
      <c r="CV172" s="129"/>
      <c r="CX172" s="132"/>
      <c r="CY172" s="128"/>
      <c r="CZ172" s="129"/>
      <c r="DB172" s="132"/>
      <c r="DC172" s="128"/>
      <c r="DD172" s="129"/>
      <c r="DF172" s="132"/>
      <c r="DG172" s="85"/>
      <c r="DH172" s="85"/>
      <c r="DI172" s="84"/>
      <c r="DK172" s="84"/>
      <c r="DP172" s="84"/>
      <c r="DU172" s="84"/>
      <c r="DY172" s="84"/>
      <c r="EC172" s="84"/>
      <c r="EG172" s="84"/>
      <c r="EK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128"/>
      <c r="AA173" s="129"/>
      <c r="AC173" s="130"/>
      <c r="AD173" s="128"/>
      <c r="AE173" s="129"/>
      <c r="AG173" s="130"/>
      <c r="AH173" s="128"/>
      <c r="AI173" s="129"/>
      <c r="AK173" s="130"/>
      <c r="AL173" s="128"/>
      <c r="AM173" s="129"/>
      <c r="AO173" s="130"/>
      <c r="AP173" s="128"/>
      <c r="AQ173" s="129"/>
      <c r="AS173" s="130"/>
      <c r="AT173" s="128"/>
      <c r="AU173" s="129"/>
      <c r="AW173" s="130"/>
      <c r="AX173" s="85"/>
      <c r="AY173" s="84"/>
      <c r="AZ173" s="84"/>
      <c r="BA173" s="131"/>
      <c r="BB173" s="84"/>
      <c r="BE173" s="84"/>
      <c r="BI173" s="86"/>
      <c r="BO173" s="84"/>
      <c r="BT173" s="84"/>
      <c r="BY173" s="84"/>
      <c r="CD173" s="84"/>
      <c r="CI173" s="128"/>
      <c r="CJ173" s="129"/>
      <c r="CL173" s="132"/>
      <c r="CM173" s="128"/>
      <c r="CN173" s="129"/>
      <c r="CP173" s="132"/>
      <c r="CQ173" s="128"/>
      <c r="CR173" s="129"/>
      <c r="CT173" s="132"/>
      <c r="CU173" s="128"/>
      <c r="CV173" s="129"/>
      <c r="CX173" s="132"/>
      <c r="CY173" s="128"/>
      <c r="CZ173" s="129"/>
      <c r="DB173" s="132"/>
      <c r="DC173" s="128"/>
      <c r="DD173" s="129"/>
      <c r="DF173" s="132"/>
      <c r="DG173" s="85"/>
      <c r="DH173" s="85"/>
      <c r="DI173" s="84"/>
      <c r="DK173" s="84"/>
      <c r="DP173" s="84"/>
      <c r="DU173" s="84"/>
      <c r="DY173" s="84"/>
      <c r="EC173" s="84"/>
      <c r="EG173" s="84"/>
      <c r="EK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128"/>
      <c r="AA174" s="129"/>
      <c r="AC174" s="130"/>
      <c r="AD174" s="128"/>
      <c r="AE174" s="129"/>
      <c r="AG174" s="130"/>
      <c r="AH174" s="128"/>
      <c r="AI174" s="129"/>
      <c r="AK174" s="130"/>
      <c r="AL174" s="128"/>
      <c r="AM174" s="129"/>
      <c r="AO174" s="130"/>
      <c r="AP174" s="128"/>
      <c r="AQ174" s="129"/>
      <c r="AS174" s="130"/>
      <c r="AT174" s="128"/>
      <c r="AU174" s="129"/>
      <c r="AW174" s="130"/>
      <c r="AX174" s="85"/>
      <c r="AY174" s="84"/>
      <c r="AZ174" s="84"/>
      <c r="BA174" s="131"/>
      <c r="BB174" s="84"/>
      <c r="BE174" s="84"/>
      <c r="BI174" s="86"/>
      <c r="BO174" s="84"/>
      <c r="BT174" s="84"/>
      <c r="BY174" s="84"/>
      <c r="CD174" s="84"/>
      <c r="CI174" s="128"/>
      <c r="CJ174" s="129"/>
      <c r="CL174" s="132"/>
      <c r="CM174" s="128"/>
      <c r="CN174" s="129"/>
      <c r="CP174" s="132"/>
      <c r="CQ174" s="128"/>
      <c r="CR174" s="129"/>
      <c r="CT174" s="132"/>
      <c r="CU174" s="128"/>
      <c r="CV174" s="129"/>
      <c r="CX174" s="132"/>
      <c r="CY174" s="128"/>
      <c r="CZ174" s="129"/>
      <c r="DB174" s="132"/>
      <c r="DC174" s="128"/>
      <c r="DD174" s="129"/>
      <c r="DF174" s="132"/>
      <c r="DG174" s="85"/>
      <c r="DH174" s="85"/>
      <c r="DI174" s="84"/>
      <c r="DK174" s="84"/>
      <c r="DP174" s="84"/>
      <c r="DU174" s="84"/>
      <c r="DY174" s="84"/>
      <c r="EC174" s="84"/>
      <c r="EG174" s="84"/>
      <c r="EK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128"/>
      <c r="AA175" s="129"/>
      <c r="AC175" s="130"/>
      <c r="AD175" s="128"/>
      <c r="AE175" s="129"/>
      <c r="AG175" s="130"/>
      <c r="AH175" s="128"/>
      <c r="AI175" s="129"/>
      <c r="AK175" s="130"/>
      <c r="AL175" s="128"/>
      <c r="AM175" s="129"/>
      <c r="AO175" s="130"/>
      <c r="AP175" s="128"/>
      <c r="AQ175" s="129"/>
      <c r="AS175" s="130"/>
      <c r="AT175" s="128"/>
      <c r="AU175" s="129"/>
      <c r="AW175" s="130"/>
      <c r="AX175" s="85"/>
      <c r="AY175" s="84"/>
      <c r="AZ175" s="84"/>
      <c r="BA175" s="131"/>
      <c r="BB175" s="84"/>
      <c r="BE175" s="84"/>
      <c r="BI175" s="86"/>
      <c r="BO175" s="84"/>
      <c r="BT175" s="84"/>
      <c r="BY175" s="84"/>
      <c r="CD175" s="84"/>
      <c r="CI175" s="128"/>
      <c r="CJ175" s="129"/>
      <c r="CL175" s="132"/>
      <c r="CM175" s="128"/>
      <c r="CN175" s="129"/>
      <c r="CP175" s="132"/>
      <c r="CQ175" s="128"/>
      <c r="CR175" s="129"/>
      <c r="CT175" s="132"/>
      <c r="CU175" s="128"/>
      <c r="CV175" s="129"/>
      <c r="CX175" s="132"/>
      <c r="CY175" s="128"/>
      <c r="CZ175" s="129"/>
      <c r="DB175" s="132"/>
      <c r="DC175" s="128"/>
      <c r="DD175" s="129"/>
      <c r="DF175" s="132"/>
      <c r="DG175" s="85"/>
      <c r="DH175" s="85"/>
      <c r="DI175" s="84"/>
      <c r="DK175" s="84"/>
      <c r="DP175" s="84"/>
      <c r="DU175" s="84"/>
      <c r="DY175" s="84"/>
      <c r="EC175" s="84"/>
      <c r="EG175" s="84"/>
      <c r="EK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128"/>
      <c r="AA176" s="129"/>
      <c r="AC176" s="130"/>
      <c r="AD176" s="128"/>
      <c r="AE176" s="129"/>
      <c r="AG176" s="130"/>
      <c r="AH176" s="128"/>
      <c r="AI176" s="129"/>
      <c r="AK176" s="130"/>
      <c r="AL176" s="128"/>
      <c r="AM176" s="129"/>
      <c r="AO176" s="130"/>
      <c r="AP176" s="128"/>
      <c r="AQ176" s="129"/>
      <c r="AS176" s="130"/>
      <c r="AT176" s="128"/>
      <c r="AU176" s="129"/>
      <c r="AW176" s="130"/>
      <c r="AX176" s="85"/>
      <c r="AY176" s="84"/>
      <c r="AZ176" s="84"/>
      <c r="BA176" s="131"/>
      <c r="BB176" s="84"/>
      <c r="BE176" s="84"/>
      <c r="BI176" s="86"/>
      <c r="BO176" s="84"/>
      <c r="BT176" s="84"/>
      <c r="BY176" s="84"/>
      <c r="CD176" s="84"/>
      <c r="CI176" s="128"/>
      <c r="CJ176" s="129"/>
      <c r="CL176" s="132"/>
      <c r="CM176" s="128"/>
      <c r="CN176" s="129"/>
      <c r="CP176" s="132"/>
      <c r="CQ176" s="128"/>
      <c r="CR176" s="129"/>
      <c r="CT176" s="132"/>
      <c r="CU176" s="128"/>
      <c r="CV176" s="129"/>
      <c r="CX176" s="132"/>
      <c r="CY176" s="128"/>
      <c r="CZ176" s="129"/>
      <c r="DB176" s="132"/>
      <c r="DC176" s="128"/>
      <c r="DD176" s="129"/>
      <c r="DF176" s="132"/>
      <c r="DG176" s="85"/>
      <c r="DH176" s="85"/>
      <c r="DI176" s="84"/>
      <c r="DK176" s="84"/>
      <c r="DP176" s="84"/>
      <c r="DU176" s="84"/>
      <c r="DY176" s="84"/>
      <c r="EC176" s="84"/>
      <c r="EG176" s="84"/>
      <c r="EK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128"/>
      <c r="AA177" s="129"/>
      <c r="AC177" s="130"/>
      <c r="AD177" s="128"/>
      <c r="AE177" s="129"/>
      <c r="AG177" s="130"/>
      <c r="AH177" s="128"/>
      <c r="AI177" s="129"/>
      <c r="AK177" s="130"/>
      <c r="AL177" s="128"/>
      <c r="AM177" s="129"/>
      <c r="AO177" s="130"/>
      <c r="AP177" s="128"/>
      <c r="AQ177" s="129"/>
      <c r="AS177" s="130"/>
      <c r="AT177" s="128"/>
      <c r="AU177" s="129"/>
      <c r="AW177" s="130"/>
      <c r="AX177" s="85"/>
      <c r="AY177" s="84"/>
      <c r="AZ177" s="84"/>
      <c r="BA177" s="131"/>
      <c r="BB177" s="84"/>
      <c r="BE177" s="84"/>
      <c r="BI177" s="86"/>
      <c r="BO177" s="84"/>
      <c r="BT177" s="84"/>
      <c r="BY177" s="84"/>
      <c r="CD177" s="84"/>
      <c r="CI177" s="128"/>
      <c r="CJ177" s="129"/>
      <c r="CL177" s="132"/>
      <c r="CM177" s="128"/>
      <c r="CN177" s="129"/>
      <c r="CP177" s="132"/>
      <c r="CQ177" s="128"/>
      <c r="CR177" s="129"/>
      <c r="CT177" s="132"/>
      <c r="CU177" s="128"/>
      <c r="CV177" s="129"/>
      <c r="CX177" s="132"/>
      <c r="CY177" s="128"/>
      <c r="CZ177" s="129"/>
      <c r="DB177" s="132"/>
      <c r="DC177" s="128"/>
      <c r="DD177" s="129"/>
      <c r="DF177" s="132"/>
      <c r="DG177" s="85"/>
      <c r="DH177" s="85"/>
      <c r="DI177" s="84"/>
      <c r="DK177" s="84"/>
      <c r="DP177" s="84"/>
      <c r="DU177" s="84"/>
      <c r="DY177" s="84"/>
      <c r="EC177" s="84"/>
      <c r="EG177" s="84"/>
      <c r="EK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128"/>
      <c r="AA178" s="129"/>
      <c r="AC178" s="130"/>
      <c r="AD178" s="128"/>
      <c r="AE178" s="129"/>
      <c r="AG178" s="130"/>
      <c r="AH178" s="128"/>
      <c r="AI178" s="129"/>
      <c r="AK178" s="130"/>
      <c r="AL178" s="128"/>
      <c r="AM178" s="129"/>
      <c r="AO178" s="130"/>
      <c r="AP178" s="128"/>
      <c r="AQ178" s="129"/>
      <c r="AS178" s="130"/>
      <c r="AT178" s="128"/>
      <c r="AU178" s="129"/>
      <c r="AW178" s="130"/>
      <c r="AX178" s="85"/>
      <c r="AY178" s="84"/>
      <c r="AZ178" s="84"/>
      <c r="BA178" s="131"/>
      <c r="BB178" s="84"/>
      <c r="BE178" s="84"/>
      <c r="BI178" s="86"/>
      <c r="BO178" s="84"/>
      <c r="BT178" s="84"/>
      <c r="BY178" s="84"/>
      <c r="CD178" s="84"/>
      <c r="CI178" s="128"/>
      <c r="CJ178" s="129"/>
      <c r="CL178" s="132"/>
      <c r="CM178" s="128"/>
      <c r="CN178" s="129"/>
      <c r="CP178" s="132"/>
      <c r="CQ178" s="128"/>
      <c r="CR178" s="129"/>
      <c r="CT178" s="132"/>
      <c r="CU178" s="128"/>
      <c r="CV178" s="129"/>
      <c r="CX178" s="132"/>
      <c r="CY178" s="128"/>
      <c r="CZ178" s="129"/>
      <c r="DB178" s="132"/>
      <c r="DC178" s="128"/>
      <c r="DD178" s="129"/>
      <c r="DF178" s="132"/>
      <c r="DG178" s="85"/>
      <c r="DH178" s="85"/>
      <c r="DI178" s="84"/>
      <c r="DK178" s="84"/>
      <c r="DP178" s="84"/>
      <c r="DU178" s="84"/>
      <c r="DY178" s="84"/>
      <c r="EC178" s="84"/>
      <c r="EG178" s="84"/>
      <c r="EK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128"/>
      <c r="AA179" s="129"/>
      <c r="AC179" s="130"/>
      <c r="AD179" s="128"/>
      <c r="AE179" s="129"/>
      <c r="AG179" s="130"/>
      <c r="AH179" s="128"/>
      <c r="AI179" s="129"/>
      <c r="AK179" s="130"/>
      <c r="AL179" s="128"/>
      <c r="AM179" s="129"/>
      <c r="AO179" s="130"/>
      <c r="AP179" s="128"/>
      <c r="AQ179" s="129"/>
      <c r="AS179" s="130"/>
      <c r="AT179" s="128"/>
      <c r="AU179" s="129"/>
      <c r="AW179" s="130"/>
      <c r="AX179" s="85"/>
      <c r="AY179" s="84"/>
      <c r="AZ179" s="84"/>
      <c r="BA179" s="131"/>
      <c r="BB179" s="84"/>
      <c r="BE179" s="84"/>
      <c r="BI179" s="86"/>
      <c r="BO179" s="84"/>
      <c r="BT179" s="84"/>
      <c r="BY179" s="84"/>
      <c r="CD179" s="84"/>
      <c r="CI179" s="128"/>
      <c r="CJ179" s="129"/>
      <c r="CL179" s="132"/>
      <c r="CM179" s="128"/>
      <c r="CN179" s="129"/>
      <c r="CP179" s="132"/>
      <c r="CQ179" s="128"/>
      <c r="CR179" s="129"/>
      <c r="CT179" s="132"/>
      <c r="CU179" s="128"/>
      <c r="CV179" s="129"/>
      <c r="CX179" s="132"/>
      <c r="CY179" s="128"/>
      <c r="CZ179" s="129"/>
      <c r="DB179" s="132"/>
      <c r="DC179" s="128"/>
      <c r="DD179" s="129"/>
      <c r="DF179" s="132"/>
      <c r="DG179" s="85"/>
      <c r="DH179" s="85"/>
      <c r="DI179" s="84"/>
      <c r="DK179" s="84"/>
      <c r="DP179" s="84"/>
      <c r="DU179" s="84"/>
      <c r="DY179" s="84"/>
      <c r="EC179" s="84"/>
      <c r="EG179" s="84"/>
      <c r="EK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128"/>
      <c r="AA180" s="129"/>
      <c r="AC180" s="130"/>
      <c r="AD180" s="128"/>
      <c r="AE180" s="129"/>
      <c r="AG180" s="130"/>
      <c r="AH180" s="128"/>
      <c r="AI180" s="129"/>
      <c r="AK180" s="130"/>
      <c r="AL180" s="128"/>
      <c r="AM180" s="129"/>
      <c r="AO180" s="130"/>
      <c r="AP180" s="128"/>
      <c r="AQ180" s="129"/>
      <c r="AS180" s="130"/>
      <c r="AT180" s="128"/>
      <c r="AU180" s="129"/>
      <c r="AW180" s="130"/>
      <c r="AX180" s="85"/>
      <c r="AY180" s="84"/>
      <c r="AZ180" s="84"/>
      <c r="BA180" s="131"/>
      <c r="BB180" s="84"/>
      <c r="BE180" s="84"/>
      <c r="BI180" s="86"/>
      <c r="BO180" s="84"/>
      <c r="BT180" s="84"/>
      <c r="BY180" s="84"/>
      <c r="CD180" s="84"/>
      <c r="CI180" s="128"/>
      <c r="CJ180" s="129"/>
      <c r="CL180" s="132"/>
      <c r="CM180" s="128"/>
      <c r="CN180" s="129"/>
      <c r="CP180" s="132"/>
      <c r="CQ180" s="128"/>
      <c r="CR180" s="129"/>
      <c r="CT180" s="132"/>
      <c r="CU180" s="128"/>
      <c r="CV180" s="129"/>
      <c r="CX180" s="132"/>
      <c r="CY180" s="128"/>
      <c r="CZ180" s="129"/>
      <c r="DB180" s="132"/>
      <c r="DC180" s="128"/>
      <c r="DD180" s="129"/>
      <c r="DF180" s="132"/>
      <c r="DG180" s="85"/>
      <c r="DH180" s="85"/>
      <c r="DI180" s="84"/>
      <c r="DK180" s="84"/>
      <c r="DP180" s="84"/>
      <c r="DU180" s="84"/>
      <c r="DY180" s="84"/>
      <c r="EC180" s="84"/>
      <c r="EG180" s="84"/>
      <c r="EK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128"/>
      <c r="AA181" s="129"/>
      <c r="AC181" s="130"/>
      <c r="AD181" s="128"/>
      <c r="AE181" s="129"/>
      <c r="AG181" s="130"/>
      <c r="AH181" s="128"/>
      <c r="AI181" s="129"/>
      <c r="AK181" s="130"/>
      <c r="AL181" s="128"/>
      <c r="AM181" s="129"/>
      <c r="AO181" s="130"/>
      <c r="AP181" s="128"/>
      <c r="AQ181" s="129"/>
      <c r="AS181" s="130"/>
      <c r="AT181" s="128"/>
      <c r="AU181" s="129"/>
      <c r="AW181" s="130"/>
      <c r="AX181" s="85"/>
      <c r="AY181" s="84"/>
      <c r="AZ181" s="84"/>
      <c r="BA181" s="131"/>
      <c r="BB181" s="84"/>
      <c r="BE181" s="84"/>
      <c r="BI181" s="86"/>
      <c r="BO181" s="84"/>
      <c r="BT181" s="84"/>
      <c r="BY181" s="84"/>
      <c r="CD181" s="84"/>
      <c r="CI181" s="128"/>
      <c r="CJ181" s="129"/>
      <c r="CL181" s="132"/>
      <c r="CM181" s="128"/>
      <c r="CN181" s="129"/>
      <c r="CP181" s="132"/>
      <c r="CQ181" s="128"/>
      <c r="CR181" s="129"/>
      <c r="CT181" s="132"/>
      <c r="CU181" s="128"/>
      <c r="CV181" s="129"/>
      <c r="CX181" s="132"/>
      <c r="CY181" s="128"/>
      <c r="CZ181" s="129"/>
      <c r="DB181" s="132"/>
      <c r="DC181" s="128"/>
      <c r="DD181" s="129"/>
      <c r="DF181" s="132"/>
      <c r="DG181" s="85"/>
      <c r="DH181" s="85"/>
      <c r="DI181" s="84"/>
      <c r="DK181" s="84"/>
      <c r="DP181" s="84"/>
      <c r="DU181" s="84"/>
      <c r="DY181" s="84"/>
      <c r="EC181" s="84"/>
      <c r="EG181" s="84"/>
      <c r="EK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128"/>
      <c r="AA182" s="129"/>
      <c r="AC182" s="130"/>
      <c r="AD182" s="128"/>
      <c r="AE182" s="129"/>
      <c r="AG182" s="130"/>
      <c r="AH182" s="128"/>
      <c r="AI182" s="129"/>
      <c r="AK182" s="130"/>
      <c r="AL182" s="128"/>
      <c r="AM182" s="129"/>
      <c r="AO182" s="130"/>
      <c r="AP182" s="128"/>
      <c r="AQ182" s="129"/>
      <c r="AS182" s="130"/>
      <c r="AT182" s="128"/>
      <c r="AU182" s="129"/>
      <c r="AW182" s="130"/>
      <c r="AX182" s="85"/>
      <c r="AY182" s="84"/>
      <c r="AZ182" s="84"/>
      <c r="BA182" s="131"/>
      <c r="BB182" s="84"/>
      <c r="BE182" s="84"/>
      <c r="BI182" s="86"/>
      <c r="BO182" s="84"/>
      <c r="BT182" s="84"/>
      <c r="BY182" s="84"/>
      <c r="CD182" s="84"/>
      <c r="CI182" s="128"/>
      <c r="CJ182" s="129"/>
      <c r="CL182" s="132"/>
      <c r="CM182" s="128"/>
      <c r="CN182" s="129"/>
      <c r="CP182" s="132"/>
      <c r="CQ182" s="128"/>
      <c r="CR182" s="129"/>
      <c r="CT182" s="132"/>
      <c r="CU182" s="128"/>
      <c r="CV182" s="129"/>
      <c r="CX182" s="132"/>
      <c r="CY182" s="128"/>
      <c r="CZ182" s="129"/>
      <c r="DB182" s="132"/>
      <c r="DC182" s="128"/>
      <c r="DD182" s="129"/>
      <c r="DF182" s="132"/>
      <c r="DG182" s="85"/>
      <c r="DH182" s="85"/>
      <c r="DI182" s="84"/>
      <c r="DK182" s="84"/>
      <c r="DP182" s="84"/>
      <c r="DU182" s="84"/>
      <c r="DY182" s="84"/>
      <c r="EC182" s="84"/>
      <c r="EG182" s="84"/>
      <c r="EK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128"/>
      <c r="AA183" s="129"/>
      <c r="AC183" s="130"/>
      <c r="AD183" s="128"/>
      <c r="AE183" s="129"/>
      <c r="AG183" s="130"/>
      <c r="AH183" s="128"/>
      <c r="AI183" s="129"/>
      <c r="AK183" s="130"/>
      <c r="AL183" s="128"/>
      <c r="AM183" s="129"/>
      <c r="AO183" s="130"/>
      <c r="AP183" s="128"/>
      <c r="AQ183" s="129"/>
      <c r="AS183" s="130"/>
      <c r="AT183" s="128"/>
      <c r="AU183" s="129"/>
      <c r="AW183" s="130"/>
      <c r="AX183" s="85"/>
      <c r="AY183" s="84"/>
      <c r="AZ183" s="84"/>
      <c r="BA183" s="131"/>
      <c r="BB183" s="84"/>
      <c r="BE183" s="84"/>
      <c r="BI183" s="86"/>
      <c r="BO183" s="84"/>
      <c r="BT183" s="84"/>
      <c r="BY183" s="84"/>
      <c r="CD183" s="84"/>
      <c r="CI183" s="128"/>
      <c r="CJ183" s="129"/>
      <c r="CL183" s="132"/>
      <c r="CM183" s="128"/>
      <c r="CN183" s="129"/>
      <c r="CP183" s="132"/>
      <c r="CQ183" s="128"/>
      <c r="CR183" s="129"/>
      <c r="CT183" s="132"/>
      <c r="CU183" s="128"/>
      <c r="CV183" s="129"/>
      <c r="CX183" s="132"/>
      <c r="CY183" s="128"/>
      <c r="CZ183" s="129"/>
      <c r="DB183" s="132"/>
      <c r="DC183" s="128"/>
      <c r="DD183" s="129"/>
      <c r="DF183" s="132"/>
      <c r="DG183" s="85"/>
      <c r="DH183" s="85"/>
      <c r="DI183" s="84"/>
      <c r="DK183" s="84"/>
      <c r="DP183" s="84"/>
      <c r="DU183" s="84"/>
      <c r="DY183" s="84"/>
      <c r="EC183" s="84"/>
      <c r="EG183" s="84"/>
      <c r="EK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128"/>
      <c r="AA184" s="129"/>
      <c r="AC184" s="130"/>
      <c r="AD184" s="128"/>
      <c r="AE184" s="129"/>
      <c r="AG184" s="130"/>
      <c r="AH184" s="128"/>
      <c r="AI184" s="129"/>
      <c r="AK184" s="130"/>
      <c r="AL184" s="128"/>
      <c r="AM184" s="129"/>
      <c r="AO184" s="130"/>
      <c r="AP184" s="128"/>
      <c r="AQ184" s="129"/>
      <c r="AS184" s="130"/>
      <c r="AT184" s="128"/>
      <c r="AU184" s="129"/>
      <c r="AW184" s="130"/>
      <c r="AX184" s="85"/>
      <c r="AY184" s="84"/>
      <c r="AZ184" s="84"/>
      <c r="BA184" s="131"/>
      <c r="BB184" s="84"/>
      <c r="BE184" s="84"/>
      <c r="BI184" s="86"/>
      <c r="BO184" s="84"/>
      <c r="BT184" s="84"/>
      <c r="BY184" s="84"/>
      <c r="CD184" s="84"/>
      <c r="CI184" s="128"/>
      <c r="CJ184" s="129"/>
      <c r="CL184" s="132"/>
      <c r="CM184" s="128"/>
      <c r="CN184" s="129"/>
      <c r="CP184" s="132"/>
      <c r="CQ184" s="128"/>
      <c r="CR184" s="129"/>
      <c r="CT184" s="132"/>
      <c r="CU184" s="128"/>
      <c r="CV184" s="129"/>
      <c r="CX184" s="132"/>
      <c r="CY184" s="128"/>
      <c r="CZ184" s="129"/>
      <c r="DB184" s="132"/>
      <c r="DC184" s="128"/>
      <c r="DD184" s="129"/>
      <c r="DF184" s="132"/>
      <c r="DG184" s="85"/>
      <c r="DH184" s="85"/>
      <c r="DI184" s="84"/>
      <c r="DK184" s="84"/>
      <c r="DP184" s="84"/>
      <c r="DU184" s="84"/>
      <c r="DY184" s="84"/>
      <c r="EC184" s="84"/>
      <c r="EG184" s="84"/>
      <c r="EK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128"/>
      <c r="AA185" s="129"/>
      <c r="AC185" s="130"/>
      <c r="AD185" s="128"/>
      <c r="AE185" s="129"/>
      <c r="AG185" s="130"/>
      <c r="AH185" s="128"/>
      <c r="AI185" s="129"/>
      <c r="AK185" s="130"/>
      <c r="AL185" s="128"/>
      <c r="AM185" s="129"/>
      <c r="AO185" s="130"/>
      <c r="AP185" s="128"/>
      <c r="AQ185" s="129"/>
      <c r="AS185" s="130"/>
      <c r="AT185" s="128"/>
      <c r="AU185" s="129"/>
      <c r="AW185" s="130"/>
      <c r="AX185" s="85"/>
      <c r="AY185" s="84"/>
      <c r="AZ185" s="84"/>
      <c r="BA185" s="131"/>
      <c r="BB185" s="84"/>
      <c r="BE185" s="84"/>
      <c r="BI185" s="86"/>
      <c r="BO185" s="84"/>
      <c r="BT185" s="84"/>
      <c r="BY185" s="84"/>
      <c r="CD185" s="84"/>
      <c r="CI185" s="128"/>
      <c r="CJ185" s="129"/>
      <c r="CL185" s="132"/>
      <c r="CM185" s="128"/>
      <c r="CN185" s="129"/>
      <c r="CP185" s="132"/>
      <c r="CQ185" s="128"/>
      <c r="CR185" s="129"/>
      <c r="CT185" s="132"/>
      <c r="CU185" s="128"/>
      <c r="CV185" s="129"/>
      <c r="CX185" s="132"/>
      <c r="CY185" s="128"/>
      <c r="CZ185" s="129"/>
      <c r="DB185" s="132"/>
      <c r="DC185" s="128"/>
      <c r="DD185" s="129"/>
      <c r="DF185" s="132"/>
      <c r="DG185" s="85"/>
      <c r="DH185" s="85"/>
      <c r="DI185" s="84"/>
      <c r="DK185" s="84"/>
      <c r="DP185" s="84"/>
      <c r="DU185" s="84"/>
      <c r="DY185" s="84"/>
      <c r="EC185" s="84"/>
      <c r="EG185" s="84"/>
      <c r="EK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128"/>
      <c r="AA186" s="129"/>
      <c r="AC186" s="130"/>
      <c r="AD186" s="128"/>
      <c r="AE186" s="129"/>
      <c r="AG186" s="130"/>
      <c r="AH186" s="128"/>
      <c r="AI186" s="129"/>
      <c r="AK186" s="130"/>
      <c r="AL186" s="128"/>
      <c r="AM186" s="129"/>
      <c r="AO186" s="130"/>
      <c r="AP186" s="128"/>
      <c r="AQ186" s="129"/>
      <c r="AS186" s="130"/>
      <c r="AT186" s="128"/>
      <c r="AU186" s="129"/>
      <c r="AW186" s="130"/>
      <c r="AX186" s="85"/>
      <c r="AY186" s="84"/>
      <c r="AZ186" s="84"/>
      <c r="BA186" s="131"/>
      <c r="BB186" s="84"/>
      <c r="BE186" s="84"/>
      <c r="BI186" s="86"/>
      <c r="BO186" s="84"/>
      <c r="BT186" s="84"/>
      <c r="BY186" s="84"/>
      <c r="CD186" s="84"/>
      <c r="CI186" s="128"/>
      <c r="CJ186" s="129"/>
      <c r="CL186" s="132"/>
      <c r="CM186" s="128"/>
      <c r="CN186" s="129"/>
      <c r="CP186" s="132"/>
      <c r="CQ186" s="128"/>
      <c r="CR186" s="129"/>
      <c r="CT186" s="132"/>
      <c r="CU186" s="128"/>
      <c r="CV186" s="129"/>
      <c r="CX186" s="132"/>
      <c r="CY186" s="128"/>
      <c r="CZ186" s="129"/>
      <c r="DB186" s="132"/>
      <c r="DC186" s="128"/>
      <c r="DD186" s="129"/>
      <c r="DF186" s="132"/>
      <c r="DG186" s="85"/>
      <c r="DH186" s="85"/>
      <c r="DI186" s="84"/>
      <c r="DK186" s="84"/>
      <c r="DP186" s="84"/>
      <c r="DU186" s="84"/>
      <c r="DY186" s="84"/>
      <c r="EC186" s="84"/>
      <c r="EG186" s="84"/>
      <c r="EK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128"/>
      <c r="AA187" s="129"/>
      <c r="AC187" s="130"/>
      <c r="AD187" s="128"/>
      <c r="AE187" s="129"/>
      <c r="AG187" s="130"/>
      <c r="AH187" s="128"/>
      <c r="AI187" s="129"/>
      <c r="AK187" s="130"/>
      <c r="AL187" s="128"/>
      <c r="AM187" s="129"/>
      <c r="AO187" s="130"/>
      <c r="AP187" s="128"/>
      <c r="AQ187" s="129"/>
      <c r="AS187" s="130"/>
      <c r="AT187" s="128"/>
      <c r="AU187" s="129"/>
      <c r="AW187" s="130"/>
      <c r="AX187" s="85"/>
      <c r="AY187" s="84"/>
      <c r="AZ187" s="84"/>
      <c r="BA187" s="131"/>
      <c r="BB187" s="84"/>
      <c r="BE187" s="84"/>
      <c r="BI187" s="86"/>
      <c r="BO187" s="84"/>
      <c r="BT187" s="84"/>
      <c r="BY187" s="84"/>
      <c r="CD187" s="84"/>
      <c r="CI187" s="128"/>
      <c r="CJ187" s="129"/>
      <c r="CL187" s="132"/>
      <c r="CM187" s="128"/>
      <c r="CN187" s="129"/>
      <c r="CP187" s="132"/>
      <c r="CQ187" s="128"/>
      <c r="CR187" s="129"/>
      <c r="CT187" s="132"/>
      <c r="CU187" s="128"/>
      <c r="CV187" s="129"/>
      <c r="CX187" s="132"/>
      <c r="CY187" s="128"/>
      <c r="CZ187" s="129"/>
      <c r="DB187" s="132"/>
      <c r="DC187" s="128"/>
      <c r="DD187" s="129"/>
      <c r="DF187" s="132"/>
      <c r="DG187" s="85"/>
      <c r="DH187" s="85"/>
      <c r="DI187" s="84"/>
      <c r="DK187" s="84"/>
      <c r="DP187" s="84"/>
      <c r="DU187" s="84"/>
      <c r="DY187" s="84"/>
      <c r="EC187" s="84"/>
      <c r="EG187" s="84"/>
      <c r="EK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128"/>
      <c r="AA188" s="129"/>
      <c r="AC188" s="130"/>
      <c r="AD188" s="128"/>
      <c r="AE188" s="129"/>
      <c r="AG188" s="130"/>
      <c r="AH188" s="128"/>
      <c r="AI188" s="129"/>
      <c r="AK188" s="130"/>
      <c r="AL188" s="128"/>
      <c r="AM188" s="129"/>
      <c r="AO188" s="130"/>
      <c r="AP188" s="128"/>
      <c r="AQ188" s="129"/>
      <c r="AS188" s="130"/>
      <c r="AT188" s="128"/>
      <c r="AU188" s="129"/>
      <c r="AW188" s="130"/>
      <c r="AX188" s="85"/>
      <c r="AY188" s="84"/>
      <c r="AZ188" s="84"/>
      <c r="BA188" s="131"/>
      <c r="BB188" s="84"/>
      <c r="BE188" s="84"/>
      <c r="BI188" s="86"/>
      <c r="BO188" s="84"/>
      <c r="BT188" s="84"/>
      <c r="BY188" s="84"/>
      <c r="CD188" s="84"/>
      <c r="CI188" s="128"/>
      <c r="CJ188" s="129"/>
      <c r="CL188" s="132"/>
      <c r="CM188" s="128"/>
      <c r="CN188" s="129"/>
      <c r="CP188" s="132"/>
      <c r="CQ188" s="128"/>
      <c r="CR188" s="129"/>
      <c r="CT188" s="132"/>
      <c r="CU188" s="128"/>
      <c r="CV188" s="129"/>
      <c r="CX188" s="132"/>
      <c r="CY188" s="128"/>
      <c r="CZ188" s="129"/>
      <c r="DB188" s="132"/>
      <c r="DC188" s="128"/>
      <c r="DD188" s="129"/>
      <c r="DF188" s="132"/>
      <c r="DG188" s="85"/>
      <c r="DH188" s="85"/>
      <c r="DI188" s="84"/>
      <c r="DK188" s="84"/>
      <c r="DP188" s="84"/>
      <c r="DU188" s="84"/>
      <c r="DY188" s="84"/>
      <c r="EC188" s="84"/>
      <c r="EG188" s="84"/>
      <c r="EK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128"/>
      <c r="AA189" s="129"/>
      <c r="AC189" s="130"/>
      <c r="AD189" s="128"/>
      <c r="AE189" s="129"/>
      <c r="AG189" s="130"/>
      <c r="AH189" s="128"/>
      <c r="AI189" s="129"/>
      <c r="AK189" s="130"/>
      <c r="AL189" s="128"/>
      <c r="AM189" s="129"/>
      <c r="AO189" s="130"/>
      <c r="AP189" s="128"/>
      <c r="AQ189" s="129"/>
      <c r="AS189" s="130"/>
      <c r="AT189" s="128"/>
      <c r="AU189" s="129"/>
      <c r="AW189" s="130"/>
      <c r="AX189" s="85"/>
      <c r="AY189" s="84"/>
      <c r="AZ189" s="84"/>
      <c r="BA189" s="131"/>
      <c r="BB189" s="84"/>
      <c r="BE189" s="84"/>
      <c r="BI189" s="86"/>
      <c r="BO189" s="84"/>
      <c r="BT189" s="84"/>
      <c r="BY189" s="84"/>
      <c r="CD189" s="84"/>
      <c r="CI189" s="128"/>
      <c r="CJ189" s="129"/>
      <c r="CL189" s="132"/>
      <c r="CM189" s="128"/>
      <c r="CN189" s="129"/>
      <c r="CP189" s="132"/>
      <c r="CQ189" s="128"/>
      <c r="CR189" s="129"/>
      <c r="CT189" s="132"/>
      <c r="CU189" s="128"/>
      <c r="CV189" s="129"/>
      <c r="CX189" s="132"/>
      <c r="CY189" s="128"/>
      <c r="CZ189" s="129"/>
      <c r="DB189" s="132"/>
      <c r="DC189" s="128"/>
      <c r="DD189" s="129"/>
      <c r="DF189" s="132"/>
      <c r="DG189" s="85"/>
      <c r="DH189" s="85"/>
      <c r="DI189" s="84"/>
      <c r="DK189" s="84"/>
      <c r="DP189" s="84"/>
      <c r="DU189" s="84"/>
      <c r="DY189" s="84"/>
      <c r="EC189" s="84"/>
      <c r="EG189" s="84"/>
      <c r="EK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128"/>
      <c r="AA190" s="129"/>
      <c r="AC190" s="130"/>
      <c r="AD190" s="128"/>
      <c r="AE190" s="129"/>
      <c r="AG190" s="130"/>
      <c r="AH190" s="128"/>
      <c r="AI190" s="129"/>
      <c r="AK190" s="130"/>
      <c r="AL190" s="128"/>
      <c r="AM190" s="129"/>
      <c r="AO190" s="130"/>
      <c r="AP190" s="128"/>
      <c r="AQ190" s="129"/>
      <c r="AS190" s="130"/>
      <c r="AT190" s="128"/>
      <c r="AU190" s="129"/>
      <c r="AW190" s="130"/>
      <c r="AX190" s="85"/>
      <c r="AY190" s="84"/>
      <c r="AZ190" s="84"/>
      <c r="BA190" s="131"/>
      <c r="BB190" s="84"/>
      <c r="BE190" s="84"/>
      <c r="BI190" s="86"/>
      <c r="BO190" s="84"/>
      <c r="BT190" s="84"/>
      <c r="BY190" s="84"/>
      <c r="CD190" s="84"/>
      <c r="CI190" s="128"/>
      <c r="CJ190" s="129"/>
      <c r="CL190" s="132"/>
      <c r="CM190" s="128"/>
      <c r="CN190" s="129"/>
      <c r="CP190" s="132"/>
      <c r="CQ190" s="128"/>
      <c r="CR190" s="129"/>
      <c r="CT190" s="132"/>
      <c r="CU190" s="128"/>
      <c r="CV190" s="129"/>
      <c r="CX190" s="132"/>
      <c r="CY190" s="128"/>
      <c r="CZ190" s="129"/>
      <c r="DB190" s="132"/>
      <c r="DC190" s="128"/>
      <c r="DD190" s="129"/>
      <c r="DF190" s="132"/>
      <c r="DG190" s="85"/>
      <c r="DH190" s="85"/>
      <c r="DI190" s="84"/>
      <c r="DK190" s="84"/>
      <c r="DP190" s="84"/>
      <c r="DU190" s="84"/>
      <c r="DY190" s="84"/>
      <c r="EC190" s="84"/>
      <c r="EG190" s="84"/>
      <c r="EK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128"/>
      <c r="AA191" s="129"/>
      <c r="AC191" s="130"/>
      <c r="AD191" s="128"/>
      <c r="AE191" s="129"/>
      <c r="AG191" s="130"/>
      <c r="AH191" s="128"/>
      <c r="AI191" s="129"/>
      <c r="AK191" s="130"/>
      <c r="AL191" s="128"/>
      <c r="AM191" s="129"/>
      <c r="AO191" s="130"/>
      <c r="AP191" s="128"/>
      <c r="AQ191" s="129"/>
      <c r="AS191" s="130"/>
      <c r="AT191" s="128"/>
      <c r="AU191" s="129"/>
      <c r="AW191" s="130"/>
      <c r="AX191" s="85"/>
      <c r="AY191" s="84"/>
      <c r="AZ191" s="84"/>
      <c r="BA191" s="131"/>
      <c r="BB191" s="84"/>
      <c r="BE191" s="84"/>
      <c r="BI191" s="86"/>
      <c r="BO191" s="84"/>
      <c r="BT191" s="84"/>
      <c r="BY191" s="84"/>
      <c r="CD191" s="84"/>
      <c r="CI191" s="128"/>
      <c r="CJ191" s="129"/>
      <c r="CL191" s="132"/>
      <c r="CM191" s="128"/>
      <c r="CN191" s="129"/>
      <c r="CP191" s="132"/>
      <c r="CQ191" s="128"/>
      <c r="CR191" s="129"/>
      <c r="CT191" s="132"/>
      <c r="CU191" s="128"/>
      <c r="CV191" s="129"/>
      <c r="CX191" s="132"/>
      <c r="CY191" s="128"/>
      <c r="CZ191" s="129"/>
      <c r="DB191" s="132"/>
      <c r="DC191" s="128"/>
      <c r="DD191" s="129"/>
      <c r="DF191" s="132"/>
      <c r="DG191" s="85"/>
      <c r="DH191" s="85"/>
      <c r="DI191" s="84"/>
      <c r="DK191" s="84"/>
      <c r="DP191" s="84"/>
      <c r="DU191" s="84"/>
      <c r="DY191" s="84"/>
      <c r="EC191" s="84"/>
      <c r="EG191" s="84"/>
      <c r="EK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128"/>
      <c r="AA192" s="129"/>
      <c r="AC192" s="130"/>
      <c r="AD192" s="128"/>
      <c r="AE192" s="129"/>
      <c r="AG192" s="130"/>
      <c r="AH192" s="128"/>
      <c r="AI192" s="129"/>
      <c r="AK192" s="130"/>
      <c r="AL192" s="128"/>
      <c r="AM192" s="129"/>
      <c r="AO192" s="130"/>
      <c r="AP192" s="128"/>
      <c r="AQ192" s="129"/>
      <c r="AS192" s="130"/>
      <c r="AT192" s="128"/>
      <c r="AU192" s="129"/>
      <c r="AW192" s="130"/>
      <c r="AX192" s="85"/>
      <c r="AY192" s="84"/>
      <c r="AZ192" s="84"/>
      <c r="BA192" s="131"/>
      <c r="BB192" s="84"/>
      <c r="BE192" s="84"/>
      <c r="BI192" s="86"/>
      <c r="BO192" s="84"/>
      <c r="BT192" s="84"/>
      <c r="BY192" s="84"/>
      <c r="CD192" s="84"/>
      <c r="CI192" s="128"/>
      <c r="CJ192" s="129"/>
      <c r="CL192" s="132"/>
      <c r="CM192" s="128"/>
      <c r="CN192" s="129"/>
      <c r="CP192" s="132"/>
      <c r="CQ192" s="128"/>
      <c r="CR192" s="129"/>
      <c r="CT192" s="132"/>
      <c r="CU192" s="128"/>
      <c r="CV192" s="129"/>
      <c r="CX192" s="132"/>
      <c r="CY192" s="128"/>
      <c r="CZ192" s="129"/>
      <c r="DB192" s="132"/>
      <c r="DC192" s="128"/>
      <c r="DD192" s="129"/>
      <c r="DF192" s="132"/>
      <c r="DG192" s="85"/>
      <c r="DH192" s="85"/>
      <c r="DI192" s="84"/>
      <c r="DK192" s="84"/>
      <c r="DP192" s="84"/>
      <c r="DU192" s="84"/>
      <c r="DY192" s="84"/>
      <c r="EC192" s="84"/>
      <c r="EG192" s="84"/>
      <c r="EK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128"/>
      <c r="AA193" s="129"/>
      <c r="AC193" s="130"/>
      <c r="AD193" s="128"/>
      <c r="AE193" s="129"/>
      <c r="AG193" s="130"/>
      <c r="AH193" s="128"/>
      <c r="AI193" s="129"/>
      <c r="AK193" s="130"/>
      <c r="AL193" s="128"/>
      <c r="AM193" s="129"/>
      <c r="AO193" s="130"/>
      <c r="AP193" s="128"/>
      <c r="AQ193" s="129"/>
      <c r="AS193" s="130"/>
      <c r="AT193" s="128"/>
      <c r="AU193" s="129"/>
      <c r="AW193" s="130"/>
      <c r="AX193" s="85"/>
      <c r="AY193" s="84"/>
      <c r="AZ193" s="84"/>
      <c r="BA193" s="131"/>
      <c r="BB193" s="84"/>
      <c r="BE193" s="84"/>
      <c r="BI193" s="86"/>
      <c r="BO193" s="84"/>
      <c r="BT193" s="84"/>
      <c r="BY193" s="84"/>
      <c r="CD193" s="84"/>
      <c r="CI193" s="128"/>
      <c r="CJ193" s="129"/>
      <c r="CL193" s="132"/>
      <c r="CM193" s="128"/>
      <c r="CN193" s="129"/>
      <c r="CP193" s="132"/>
      <c r="CQ193" s="128"/>
      <c r="CR193" s="129"/>
      <c r="CT193" s="132"/>
      <c r="CU193" s="128"/>
      <c r="CV193" s="129"/>
      <c r="CX193" s="132"/>
      <c r="CY193" s="128"/>
      <c r="CZ193" s="129"/>
      <c r="DB193" s="132"/>
      <c r="DC193" s="128"/>
      <c r="DD193" s="129"/>
      <c r="DF193" s="132"/>
      <c r="DG193" s="85"/>
      <c r="DH193" s="85"/>
      <c r="DI193" s="84"/>
      <c r="DK193" s="84"/>
      <c r="DP193" s="84"/>
      <c r="DU193" s="84"/>
      <c r="DY193" s="84"/>
      <c r="EC193" s="84"/>
      <c r="EG193" s="84"/>
      <c r="EK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128"/>
      <c r="AA194" s="129"/>
      <c r="AC194" s="130"/>
      <c r="AD194" s="128"/>
      <c r="AE194" s="129"/>
      <c r="AG194" s="130"/>
      <c r="AH194" s="128"/>
      <c r="AI194" s="129"/>
      <c r="AK194" s="130"/>
      <c r="AL194" s="128"/>
      <c r="AM194" s="129"/>
      <c r="AO194" s="130"/>
      <c r="AP194" s="128"/>
      <c r="AQ194" s="129"/>
      <c r="AS194" s="130"/>
      <c r="AT194" s="128"/>
      <c r="AU194" s="129"/>
      <c r="AW194" s="130"/>
      <c r="AX194" s="85"/>
      <c r="AY194" s="84"/>
      <c r="AZ194" s="84"/>
      <c r="BA194" s="131"/>
      <c r="BB194" s="84"/>
      <c r="BE194" s="84"/>
      <c r="BI194" s="86"/>
      <c r="BO194" s="84"/>
      <c r="BT194" s="84"/>
      <c r="BY194" s="84"/>
      <c r="CD194" s="84"/>
      <c r="CI194" s="128"/>
      <c r="CJ194" s="129"/>
      <c r="CL194" s="132"/>
      <c r="CM194" s="128"/>
      <c r="CN194" s="129"/>
      <c r="CP194" s="132"/>
      <c r="CQ194" s="128"/>
      <c r="CR194" s="129"/>
      <c r="CT194" s="132"/>
      <c r="CU194" s="128"/>
      <c r="CV194" s="129"/>
      <c r="CX194" s="132"/>
      <c r="CY194" s="128"/>
      <c r="CZ194" s="129"/>
      <c r="DB194" s="132"/>
      <c r="DC194" s="128"/>
      <c r="DD194" s="129"/>
      <c r="DF194" s="132"/>
      <c r="DG194" s="85"/>
      <c r="DH194" s="85"/>
      <c r="DI194" s="84"/>
      <c r="DK194" s="84"/>
      <c r="DP194" s="84"/>
      <c r="DU194" s="84"/>
      <c r="DY194" s="84"/>
      <c r="EC194" s="84"/>
      <c r="EG194" s="84"/>
      <c r="EK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128"/>
      <c r="AA195" s="129"/>
      <c r="AC195" s="130"/>
      <c r="AD195" s="128"/>
      <c r="AE195" s="129"/>
      <c r="AG195" s="130"/>
      <c r="AH195" s="128"/>
      <c r="AI195" s="129"/>
      <c r="AK195" s="130"/>
      <c r="AL195" s="128"/>
      <c r="AM195" s="129"/>
      <c r="AO195" s="130"/>
      <c r="AP195" s="128"/>
      <c r="AQ195" s="129"/>
      <c r="AS195" s="130"/>
      <c r="AT195" s="128"/>
      <c r="AU195" s="129"/>
      <c r="AW195" s="130"/>
      <c r="AX195" s="85"/>
      <c r="AY195" s="84"/>
      <c r="AZ195" s="84"/>
      <c r="BA195" s="131"/>
      <c r="BB195" s="84"/>
      <c r="BE195" s="84"/>
      <c r="BI195" s="86"/>
      <c r="BO195" s="84"/>
      <c r="BT195" s="84"/>
      <c r="BY195" s="84"/>
      <c r="CD195" s="84"/>
      <c r="CI195" s="128"/>
      <c r="CJ195" s="129"/>
      <c r="CL195" s="132"/>
      <c r="CM195" s="128"/>
      <c r="CN195" s="129"/>
      <c r="CP195" s="132"/>
      <c r="CQ195" s="128"/>
      <c r="CR195" s="129"/>
      <c r="CT195" s="132"/>
      <c r="CU195" s="128"/>
      <c r="CV195" s="129"/>
      <c r="CX195" s="132"/>
      <c r="CY195" s="128"/>
      <c r="CZ195" s="129"/>
      <c r="DB195" s="132"/>
      <c r="DC195" s="128"/>
      <c r="DD195" s="129"/>
      <c r="DF195" s="132"/>
      <c r="DG195" s="85"/>
      <c r="DH195" s="85"/>
      <c r="DI195" s="84"/>
      <c r="DK195" s="84"/>
      <c r="DP195" s="84"/>
      <c r="DU195" s="84"/>
      <c r="DY195" s="84"/>
      <c r="EC195" s="84"/>
      <c r="EG195" s="84"/>
      <c r="EK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128"/>
      <c r="AA196" s="129"/>
      <c r="AC196" s="130"/>
      <c r="AD196" s="128"/>
      <c r="AE196" s="129"/>
      <c r="AG196" s="130"/>
      <c r="AH196" s="128"/>
      <c r="AI196" s="129"/>
      <c r="AK196" s="130"/>
      <c r="AL196" s="128"/>
      <c r="AM196" s="129"/>
      <c r="AO196" s="130"/>
      <c r="AP196" s="128"/>
      <c r="AQ196" s="129"/>
      <c r="AS196" s="130"/>
      <c r="AT196" s="128"/>
      <c r="AU196" s="129"/>
      <c r="AW196" s="130"/>
      <c r="AX196" s="85"/>
      <c r="AY196" s="84"/>
      <c r="AZ196" s="84"/>
      <c r="BA196" s="131"/>
      <c r="BB196" s="84"/>
      <c r="BE196" s="84"/>
      <c r="BI196" s="86"/>
      <c r="BO196" s="84"/>
      <c r="BT196" s="84"/>
      <c r="BY196" s="84"/>
      <c r="CD196" s="84"/>
      <c r="CI196" s="128"/>
      <c r="CJ196" s="129"/>
      <c r="CL196" s="132"/>
      <c r="CM196" s="128"/>
      <c r="CN196" s="129"/>
      <c r="CP196" s="132"/>
      <c r="CQ196" s="128"/>
      <c r="CR196" s="129"/>
      <c r="CT196" s="132"/>
      <c r="CU196" s="128"/>
      <c r="CV196" s="129"/>
      <c r="CX196" s="132"/>
      <c r="CY196" s="128"/>
      <c r="CZ196" s="129"/>
      <c r="DB196" s="132"/>
      <c r="DC196" s="128"/>
      <c r="DD196" s="129"/>
      <c r="DF196" s="132"/>
      <c r="DG196" s="85"/>
      <c r="DH196" s="85"/>
      <c r="DI196" s="84"/>
      <c r="DK196" s="84"/>
      <c r="DP196" s="84"/>
      <c r="DU196" s="84"/>
      <c r="DY196" s="84"/>
      <c r="EC196" s="84"/>
      <c r="EG196" s="84"/>
      <c r="EK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128"/>
      <c r="AA197" s="129"/>
      <c r="AC197" s="130"/>
      <c r="AD197" s="128"/>
      <c r="AE197" s="129"/>
      <c r="AG197" s="130"/>
      <c r="AH197" s="128"/>
      <c r="AI197" s="129"/>
      <c r="AK197" s="130"/>
      <c r="AL197" s="128"/>
      <c r="AM197" s="129"/>
      <c r="AO197" s="130"/>
      <c r="AP197" s="128"/>
      <c r="AQ197" s="129"/>
      <c r="AS197" s="130"/>
      <c r="AT197" s="128"/>
      <c r="AU197" s="129"/>
      <c r="AW197" s="130"/>
      <c r="AX197" s="85"/>
      <c r="AY197" s="84"/>
      <c r="AZ197" s="84"/>
      <c r="BA197" s="131"/>
      <c r="BB197" s="84"/>
      <c r="BE197" s="84"/>
      <c r="BI197" s="86"/>
      <c r="BO197" s="84"/>
      <c r="BT197" s="84"/>
      <c r="BY197" s="84"/>
      <c r="CD197" s="84"/>
      <c r="CI197" s="128"/>
      <c r="CJ197" s="129"/>
      <c r="CL197" s="132"/>
      <c r="CM197" s="128"/>
      <c r="CN197" s="129"/>
      <c r="CP197" s="132"/>
      <c r="CQ197" s="128"/>
      <c r="CR197" s="129"/>
      <c r="CT197" s="132"/>
      <c r="CU197" s="128"/>
      <c r="CV197" s="129"/>
      <c r="CX197" s="132"/>
      <c r="CY197" s="128"/>
      <c r="CZ197" s="129"/>
      <c r="DB197" s="132"/>
      <c r="DC197" s="128"/>
      <c r="DD197" s="129"/>
      <c r="DF197" s="132"/>
      <c r="DG197" s="85"/>
      <c r="DH197" s="85"/>
      <c r="DI197" s="84"/>
      <c r="DK197" s="84"/>
      <c r="DP197" s="84"/>
      <c r="DU197" s="84"/>
      <c r="DY197" s="84"/>
      <c r="EC197" s="84"/>
      <c r="EG197" s="84"/>
      <c r="EK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128"/>
      <c r="AA198" s="129"/>
      <c r="AC198" s="130"/>
      <c r="AD198" s="128"/>
      <c r="AE198" s="129"/>
      <c r="AG198" s="130"/>
      <c r="AH198" s="128"/>
      <c r="AI198" s="129"/>
      <c r="AK198" s="130"/>
      <c r="AL198" s="128"/>
      <c r="AM198" s="129"/>
      <c r="AO198" s="130"/>
      <c r="AP198" s="128"/>
      <c r="AQ198" s="129"/>
      <c r="AS198" s="130"/>
      <c r="AT198" s="128"/>
      <c r="AU198" s="129"/>
      <c r="AW198" s="130"/>
      <c r="AX198" s="85"/>
      <c r="AY198" s="84"/>
      <c r="AZ198" s="84"/>
      <c r="BA198" s="131"/>
      <c r="BB198" s="84"/>
      <c r="BE198" s="84"/>
      <c r="BI198" s="86"/>
      <c r="BO198" s="84"/>
      <c r="BT198" s="84"/>
      <c r="BY198" s="84"/>
      <c r="CD198" s="84"/>
      <c r="CI198" s="128"/>
      <c r="CJ198" s="129"/>
      <c r="CL198" s="132"/>
      <c r="CM198" s="128"/>
      <c r="CN198" s="129"/>
      <c r="CP198" s="132"/>
      <c r="CQ198" s="128"/>
      <c r="CR198" s="129"/>
      <c r="CT198" s="132"/>
      <c r="CU198" s="128"/>
      <c r="CV198" s="129"/>
      <c r="CX198" s="132"/>
      <c r="CY198" s="128"/>
      <c r="CZ198" s="129"/>
      <c r="DB198" s="132"/>
      <c r="DC198" s="128"/>
      <c r="DD198" s="129"/>
      <c r="DF198" s="132"/>
      <c r="DG198" s="85"/>
      <c r="DH198" s="85"/>
      <c r="DI198" s="84"/>
      <c r="DK198" s="84"/>
      <c r="DP198" s="84"/>
      <c r="DU198" s="84"/>
      <c r="DY198" s="84"/>
      <c r="EC198" s="84"/>
      <c r="EG198" s="84"/>
      <c r="EK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128"/>
      <c r="AA199" s="129"/>
      <c r="AC199" s="130"/>
      <c r="AD199" s="128"/>
      <c r="AE199" s="129"/>
      <c r="AG199" s="130"/>
      <c r="AH199" s="128"/>
      <c r="AI199" s="129"/>
      <c r="AK199" s="130"/>
      <c r="AL199" s="128"/>
      <c r="AM199" s="129"/>
      <c r="AO199" s="130"/>
      <c r="AP199" s="128"/>
      <c r="AQ199" s="129"/>
      <c r="AS199" s="130"/>
      <c r="AT199" s="128"/>
      <c r="AU199" s="129"/>
      <c r="AW199" s="130"/>
      <c r="AX199" s="85"/>
      <c r="AY199" s="84"/>
      <c r="AZ199" s="84"/>
      <c r="BA199" s="131"/>
      <c r="BB199" s="84"/>
      <c r="BE199" s="84"/>
      <c r="BI199" s="86"/>
      <c r="BO199" s="84"/>
      <c r="BT199" s="84"/>
      <c r="BY199" s="84"/>
      <c r="CD199" s="84"/>
      <c r="CI199" s="128"/>
      <c r="CJ199" s="129"/>
      <c r="CL199" s="132"/>
      <c r="CM199" s="128"/>
      <c r="CN199" s="129"/>
      <c r="CP199" s="132"/>
      <c r="CQ199" s="128"/>
      <c r="CR199" s="129"/>
      <c r="CT199" s="132"/>
      <c r="CU199" s="128"/>
      <c r="CV199" s="129"/>
      <c r="CX199" s="132"/>
      <c r="CY199" s="128"/>
      <c r="CZ199" s="129"/>
      <c r="DB199" s="132"/>
      <c r="DC199" s="128"/>
      <c r="DD199" s="129"/>
      <c r="DF199" s="132"/>
      <c r="DG199" s="85"/>
      <c r="DH199" s="85"/>
      <c r="DI199" s="84"/>
      <c r="DK199" s="84"/>
      <c r="DP199" s="84"/>
      <c r="DU199" s="84"/>
      <c r="DY199" s="84"/>
      <c r="EC199" s="84"/>
      <c r="EG199" s="84"/>
      <c r="EK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128"/>
      <c r="AA200" s="129"/>
      <c r="AC200" s="130"/>
      <c r="AD200" s="128"/>
      <c r="AE200" s="129"/>
      <c r="AG200" s="130"/>
      <c r="AH200" s="128"/>
      <c r="AI200" s="129"/>
      <c r="AK200" s="130"/>
      <c r="AL200" s="128"/>
      <c r="AM200" s="129"/>
      <c r="AO200" s="130"/>
      <c r="AP200" s="128"/>
      <c r="AQ200" s="129"/>
      <c r="AS200" s="130"/>
      <c r="AT200" s="128"/>
      <c r="AU200" s="129"/>
      <c r="AW200" s="130"/>
      <c r="AX200" s="85"/>
      <c r="AY200" s="84"/>
      <c r="AZ200" s="84"/>
      <c r="BA200" s="131"/>
      <c r="BB200" s="84"/>
      <c r="BE200" s="84"/>
      <c r="BI200" s="86"/>
      <c r="BO200" s="84"/>
      <c r="BT200" s="84"/>
      <c r="BY200" s="84"/>
      <c r="CD200" s="84"/>
      <c r="CI200" s="128"/>
      <c r="CJ200" s="129"/>
      <c r="CL200" s="132"/>
      <c r="CM200" s="128"/>
      <c r="CN200" s="129"/>
      <c r="CP200" s="132"/>
      <c r="CQ200" s="128"/>
      <c r="CR200" s="129"/>
      <c r="CT200" s="132"/>
      <c r="CU200" s="128"/>
      <c r="CV200" s="129"/>
      <c r="CX200" s="132"/>
      <c r="CY200" s="128"/>
      <c r="CZ200" s="129"/>
      <c r="DB200" s="132"/>
      <c r="DC200" s="128"/>
      <c r="DD200" s="129"/>
      <c r="DF200" s="132"/>
      <c r="DG200" s="85"/>
      <c r="DH200" s="85"/>
      <c r="DI200" s="84"/>
      <c r="DK200" s="84"/>
      <c r="DP200" s="84"/>
      <c r="DU200" s="84"/>
      <c r="DY200" s="84"/>
      <c r="EC200" s="84"/>
      <c r="EG200" s="84"/>
      <c r="EK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128"/>
      <c r="AA201" s="129"/>
      <c r="AC201" s="130"/>
      <c r="AD201" s="128"/>
      <c r="AE201" s="129"/>
      <c r="AG201" s="130"/>
      <c r="AH201" s="128"/>
      <c r="AI201" s="129"/>
      <c r="AK201" s="130"/>
      <c r="AL201" s="128"/>
      <c r="AM201" s="129"/>
      <c r="AO201" s="130"/>
      <c r="AP201" s="128"/>
      <c r="AQ201" s="129"/>
      <c r="AS201" s="130"/>
      <c r="AT201" s="128"/>
      <c r="AU201" s="129"/>
      <c r="AW201" s="130"/>
      <c r="AX201" s="85"/>
      <c r="AY201" s="84"/>
      <c r="AZ201" s="84"/>
      <c r="BA201" s="131"/>
      <c r="BB201" s="84"/>
      <c r="BE201" s="84"/>
      <c r="BI201" s="86"/>
      <c r="BO201" s="84"/>
      <c r="BT201" s="84"/>
      <c r="BY201" s="84"/>
      <c r="CD201" s="84"/>
      <c r="CI201" s="128"/>
      <c r="CJ201" s="129"/>
      <c r="CL201" s="132"/>
      <c r="CM201" s="128"/>
      <c r="CN201" s="129"/>
      <c r="CP201" s="132"/>
      <c r="CQ201" s="128"/>
      <c r="CR201" s="129"/>
      <c r="CT201" s="132"/>
      <c r="CU201" s="128"/>
      <c r="CV201" s="129"/>
      <c r="CX201" s="132"/>
      <c r="CY201" s="128"/>
      <c r="CZ201" s="129"/>
      <c r="DB201" s="132"/>
      <c r="DC201" s="128"/>
      <c r="DD201" s="129"/>
      <c r="DF201" s="132"/>
      <c r="DG201" s="85"/>
      <c r="DH201" s="85"/>
      <c r="DI201" s="84"/>
      <c r="DK201" s="84"/>
      <c r="DP201" s="84"/>
      <c r="DU201" s="84"/>
      <c r="DY201" s="84"/>
      <c r="EC201" s="84"/>
      <c r="EG201" s="84"/>
      <c r="EK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128"/>
      <c r="AA202" s="129"/>
      <c r="AC202" s="130"/>
      <c r="AD202" s="128"/>
      <c r="AE202" s="129"/>
      <c r="AG202" s="130"/>
      <c r="AH202" s="128"/>
      <c r="AI202" s="129"/>
      <c r="AK202" s="130"/>
      <c r="AL202" s="128"/>
      <c r="AM202" s="129"/>
      <c r="AO202" s="130"/>
      <c r="AP202" s="128"/>
      <c r="AQ202" s="129"/>
      <c r="AS202" s="130"/>
      <c r="AT202" s="128"/>
      <c r="AU202" s="129"/>
      <c r="AW202" s="130"/>
      <c r="AX202" s="85"/>
      <c r="AY202" s="84"/>
      <c r="AZ202" s="84"/>
      <c r="BA202" s="131"/>
      <c r="BB202" s="84"/>
      <c r="BE202" s="84"/>
      <c r="BI202" s="86"/>
      <c r="BO202" s="84"/>
      <c r="BT202" s="84"/>
      <c r="BY202" s="84"/>
      <c r="CD202" s="84"/>
      <c r="CI202" s="128"/>
      <c r="CJ202" s="129"/>
      <c r="CL202" s="132"/>
      <c r="CM202" s="128"/>
      <c r="CN202" s="129"/>
      <c r="CP202" s="132"/>
      <c r="CQ202" s="128"/>
      <c r="CR202" s="129"/>
      <c r="CT202" s="132"/>
      <c r="CU202" s="128"/>
      <c r="CV202" s="129"/>
      <c r="CX202" s="132"/>
      <c r="CY202" s="128"/>
      <c r="CZ202" s="129"/>
      <c r="DB202" s="132"/>
      <c r="DC202" s="128"/>
      <c r="DD202" s="129"/>
      <c r="DF202" s="132"/>
      <c r="DG202" s="85"/>
      <c r="DH202" s="85"/>
      <c r="DI202" s="84"/>
      <c r="DK202" s="84"/>
      <c r="DP202" s="84"/>
      <c r="DU202" s="84"/>
      <c r="DY202" s="84"/>
      <c r="EC202" s="84"/>
      <c r="EG202" s="84"/>
      <c r="EK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128"/>
      <c r="AA203" s="129"/>
      <c r="AC203" s="130"/>
      <c r="AD203" s="128"/>
      <c r="AE203" s="129"/>
      <c r="AG203" s="130"/>
      <c r="AH203" s="128"/>
      <c r="AI203" s="129"/>
      <c r="AK203" s="130"/>
      <c r="AL203" s="128"/>
      <c r="AM203" s="129"/>
      <c r="AO203" s="130"/>
      <c r="AP203" s="128"/>
      <c r="AQ203" s="129"/>
      <c r="AS203" s="130"/>
      <c r="AT203" s="128"/>
      <c r="AU203" s="129"/>
      <c r="AW203" s="130"/>
      <c r="AX203" s="85"/>
      <c r="AY203" s="84"/>
      <c r="AZ203" s="84"/>
      <c r="BA203" s="131"/>
      <c r="BB203" s="84"/>
      <c r="BE203" s="84"/>
      <c r="BI203" s="86"/>
      <c r="BO203" s="84"/>
      <c r="BT203" s="84"/>
      <c r="BY203" s="84"/>
      <c r="CD203" s="84"/>
      <c r="CI203" s="128"/>
      <c r="CJ203" s="129"/>
      <c r="CL203" s="132"/>
      <c r="CM203" s="128"/>
      <c r="CN203" s="129"/>
      <c r="CP203" s="132"/>
      <c r="CQ203" s="128"/>
      <c r="CR203" s="129"/>
      <c r="CT203" s="132"/>
      <c r="CU203" s="128"/>
      <c r="CV203" s="129"/>
      <c r="CX203" s="132"/>
      <c r="CY203" s="128"/>
      <c r="CZ203" s="129"/>
      <c r="DB203" s="132"/>
      <c r="DC203" s="128"/>
      <c r="DD203" s="129"/>
      <c r="DF203" s="132"/>
      <c r="DG203" s="85"/>
      <c r="DH203" s="85"/>
      <c r="DI203" s="84"/>
      <c r="DK203" s="84"/>
      <c r="DP203" s="84"/>
      <c r="DU203" s="84"/>
      <c r="DY203" s="84"/>
      <c r="EC203" s="84"/>
      <c r="EG203" s="84"/>
      <c r="EK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128"/>
      <c r="AA204" s="129"/>
      <c r="AC204" s="130"/>
      <c r="AD204" s="128"/>
      <c r="AE204" s="129"/>
      <c r="AG204" s="130"/>
      <c r="AH204" s="128"/>
      <c r="AI204" s="129"/>
      <c r="AK204" s="130"/>
      <c r="AL204" s="128"/>
      <c r="AM204" s="129"/>
      <c r="AO204" s="130"/>
      <c r="AP204" s="128"/>
      <c r="AQ204" s="129"/>
      <c r="AS204" s="130"/>
      <c r="AT204" s="128"/>
      <c r="AU204" s="129"/>
      <c r="AW204" s="130"/>
      <c r="AX204" s="85"/>
      <c r="AY204" s="84"/>
      <c r="AZ204" s="84"/>
      <c r="BA204" s="131"/>
      <c r="BB204" s="84"/>
      <c r="BE204" s="84"/>
      <c r="BI204" s="86"/>
      <c r="BO204" s="84"/>
      <c r="BT204" s="84"/>
      <c r="BY204" s="84"/>
      <c r="CD204" s="84"/>
      <c r="CI204" s="128"/>
      <c r="CJ204" s="129"/>
      <c r="CL204" s="132"/>
      <c r="CM204" s="128"/>
      <c r="CN204" s="129"/>
      <c r="CP204" s="132"/>
      <c r="CQ204" s="128"/>
      <c r="CR204" s="129"/>
      <c r="CT204" s="132"/>
      <c r="CU204" s="128"/>
      <c r="CV204" s="129"/>
      <c r="CX204" s="132"/>
      <c r="CY204" s="128"/>
      <c r="CZ204" s="129"/>
      <c r="DB204" s="132"/>
      <c r="DC204" s="128"/>
      <c r="DD204" s="129"/>
      <c r="DF204" s="132"/>
      <c r="DG204" s="85"/>
      <c r="DH204" s="85"/>
      <c r="DI204" s="84"/>
      <c r="DK204" s="84"/>
      <c r="DP204" s="84"/>
      <c r="DU204" s="84"/>
      <c r="DY204" s="84"/>
      <c r="EC204" s="84"/>
      <c r="EG204" s="84"/>
      <c r="EK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128"/>
      <c r="AA205" s="129"/>
      <c r="AC205" s="130"/>
      <c r="AD205" s="128"/>
      <c r="AE205" s="129"/>
      <c r="AG205" s="130"/>
      <c r="AH205" s="128"/>
      <c r="AI205" s="129"/>
      <c r="AK205" s="130"/>
      <c r="AL205" s="128"/>
      <c r="AM205" s="129"/>
      <c r="AO205" s="130"/>
      <c r="AP205" s="128"/>
      <c r="AQ205" s="129"/>
      <c r="AS205" s="130"/>
      <c r="AT205" s="128"/>
      <c r="AU205" s="129"/>
      <c r="AW205" s="130"/>
      <c r="AX205" s="85"/>
      <c r="AY205" s="84"/>
      <c r="AZ205" s="84"/>
      <c r="BA205" s="131"/>
      <c r="BB205" s="84"/>
      <c r="BE205" s="84"/>
      <c r="BI205" s="86"/>
      <c r="BO205" s="84"/>
      <c r="BT205" s="84"/>
      <c r="BY205" s="84"/>
      <c r="CD205" s="84"/>
      <c r="CI205" s="128"/>
      <c r="CJ205" s="129"/>
      <c r="CL205" s="132"/>
      <c r="CM205" s="128"/>
      <c r="CN205" s="129"/>
      <c r="CP205" s="132"/>
      <c r="CQ205" s="128"/>
      <c r="CR205" s="129"/>
      <c r="CT205" s="132"/>
      <c r="CU205" s="128"/>
      <c r="CV205" s="129"/>
      <c r="CX205" s="132"/>
      <c r="CY205" s="128"/>
      <c r="CZ205" s="129"/>
      <c r="DB205" s="132"/>
      <c r="DC205" s="128"/>
      <c r="DD205" s="129"/>
      <c r="DF205" s="132"/>
      <c r="DG205" s="85"/>
      <c r="DH205" s="85"/>
      <c r="DI205" s="84"/>
      <c r="DK205" s="84"/>
      <c r="DP205" s="84"/>
      <c r="DU205" s="84"/>
      <c r="DY205" s="84"/>
      <c r="EC205" s="84"/>
      <c r="EG205" s="84"/>
      <c r="EK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128"/>
      <c r="AA206" s="129"/>
      <c r="AC206" s="130"/>
      <c r="AD206" s="128"/>
      <c r="AE206" s="129"/>
      <c r="AG206" s="130"/>
      <c r="AH206" s="128"/>
      <c r="AI206" s="129"/>
      <c r="AK206" s="130"/>
      <c r="AL206" s="128"/>
      <c r="AM206" s="129"/>
      <c r="AO206" s="130"/>
      <c r="AP206" s="128"/>
      <c r="AQ206" s="129"/>
      <c r="AS206" s="130"/>
      <c r="AT206" s="128"/>
      <c r="AU206" s="129"/>
      <c r="AW206" s="130"/>
      <c r="AX206" s="85"/>
      <c r="AY206" s="84"/>
      <c r="AZ206" s="84"/>
      <c r="BA206" s="131"/>
      <c r="BB206" s="84"/>
      <c r="BE206" s="84"/>
      <c r="BI206" s="86"/>
      <c r="BO206" s="84"/>
      <c r="BT206" s="84"/>
      <c r="BY206" s="84"/>
      <c r="CD206" s="84"/>
      <c r="CI206" s="128"/>
      <c r="CJ206" s="129"/>
      <c r="CL206" s="132"/>
      <c r="CM206" s="128"/>
      <c r="CN206" s="129"/>
      <c r="CP206" s="132"/>
      <c r="CQ206" s="128"/>
      <c r="CR206" s="129"/>
      <c r="CT206" s="132"/>
      <c r="CU206" s="128"/>
      <c r="CV206" s="129"/>
      <c r="CX206" s="132"/>
      <c r="CY206" s="128"/>
      <c r="CZ206" s="129"/>
      <c r="DB206" s="132"/>
      <c r="DC206" s="128"/>
      <c r="DD206" s="129"/>
      <c r="DF206" s="132"/>
      <c r="DG206" s="85"/>
      <c r="DH206" s="85"/>
      <c r="DI206" s="84"/>
      <c r="DK206" s="84"/>
      <c r="DP206" s="84"/>
      <c r="DU206" s="84"/>
      <c r="DY206" s="84"/>
      <c r="EC206" s="84"/>
      <c r="EG206" s="84"/>
      <c r="EK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128"/>
      <c r="AA207" s="129"/>
      <c r="AC207" s="130"/>
      <c r="AD207" s="128"/>
      <c r="AE207" s="129"/>
      <c r="AG207" s="130"/>
      <c r="AH207" s="128"/>
      <c r="AI207" s="129"/>
      <c r="AK207" s="130"/>
      <c r="AL207" s="128"/>
      <c r="AM207" s="129"/>
      <c r="AO207" s="130"/>
      <c r="AP207" s="128"/>
      <c r="AQ207" s="129"/>
      <c r="AS207" s="130"/>
      <c r="AT207" s="128"/>
      <c r="AU207" s="129"/>
      <c r="AW207" s="130"/>
      <c r="AX207" s="85"/>
      <c r="AY207" s="84"/>
      <c r="AZ207" s="84"/>
      <c r="BA207" s="131"/>
      <c r="BB207" s="84"/>
      <c r="BE207" s="84"/>
      <c r="BI207" s="86"/>
      <c r="BO207" s="84"/>
      <c r="BT207" s="84"/>
      <c r="BY207" s="84"/>
      <c r="CD207" s="84"/>
      <c r="CI207" s="128"/>
      <c r="CJ207" s="129"/>
      <c r="CL207" s="132"/>
      <c r="CM207" s="128"/>
      <c r="CN207" s="129"/>
      <c r="CP207" s="132"/>
      <c r="CQ207" s="128"/>
      <c r="CR207" s="129"/>
      <c r="CT207" s="132"/>
      <c r="CU207" s="128"/>
      <c r="CV207" s="129"/>
      <c r="CX207" s="132"/>
      <c r="CY207" s="128"/>
      <c r="CZ207" s="129"/>
      <c r="DB207" s="132"/>
      <c r="DC207" s="128"/>
      <c r="DD207" s="129"/>
      <c r="DF207" s="132"/>
      <c r="DG207" s="85"/>
      <c r="DH207" s="85"/>
      <c r="DI207" s="84"/>
      <c r="DK207" s="84"/>
      <c r="DP207" s="84"/>
      <c r="DU207" s="84"/>
      <c r="DY207" s="84"/>
      <c r="EC207" s="84"/>
      <c r="EG207" s="84"/>
      <c r="EK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128"/>
      <c r="AA208" s="129"/>
      <c r="AC208" s="130"/>
      <c r="AD208" s="128"/>
      <c r="AE208" s="129"/>
      <c r="AG208" s="130"/>
      <c r="AH208" s="128"/>
      <c r="AI208" s="129"/>
      <c r="AK208" s="130"/>
      <c r="AL208" s="128"/>
      <c r="AM208" s="129"/>
      <c r="AO208" s="130"/>
      <c r="AP208" s="128"/>
      <c r="AQ208" s="129"/>
      <c r="AS208" s="130"/>
      <c r="AT208" s="128"/>
      <c r="AU208" s="129"/>
      <c r="AW208" s="130"/>
      <c r="AX208" s="85"/>
      <c r="AY208" s="84"/>
      <c r="AZ208" s="84"/>
      <c r="BA208" s="131"/>
      <c r="BB208" s="84"/>
      <c r="BE208" s="84"/>
      <c r="BI208" s="86"/>
      <c r="BO208" s="84"/>
      <c r="BT208" s="84"/>
      <c r="BY208" s="84"/>
      <c r="CD208" s="84"/>
      <c r="CI208" s="128"/>
      <c r="CJ208" s="129"/>
      <c r="CL208" s="132"/>
      <c r="CM208" s="128"/>
      <c r="CN208" s="129"/>
      <c r="CP208" s="132"/>
      <c r="CQ208" s="128"/>
      <c r="CR208" s="129"/>
      <c r="CT208" s="132"/>
      <c r="CU208" s="128"/>
      <c r="CV208" s="129"/>
      <c r="CX208" s="132"/>
      <c r="CY208" s="128"/>
      <c r="CZ208" s="129"/>
      <c r="DB208" s="132"/>
      <c r="DC208" s="128"/>
      <c r="DD208" s="129"/>
      <c r="DF208" s="132"/>
      <c r="DG208" s="85"/>
      <c r="DH208" s="85"/>
      <c r="DI208" s="84"/>
      <c r="DK208" s="84"/>
      <c r="DP208" s="84"/>
      <c r="DU208" s="84"/>
      <c r="DY208" s="84"/>
      <c r="EC208" s="84"/>
      <c r="EG208" s="84"/>
      <c r="EK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128"/>
      <c r="AA209" s="129"/>
      <c r="AC209" s="130"/>
      <c r="AD209" s="128"/>
      <c r="AE209" s="129"/>
      <c r="AG209" s="130"/>
      <c r="AH209" s="128"/>
      <c r="AI209" s="129"/>
      <c r="AK209" s="130"/>
      <c r="AL209" s="128"/>
      <c r="AM209" s="129"/>
      <c r="AO209" s="130"/>
      <c r="AP209" s="128"/>
      <c r="AQ209" s="129"/>
      <c r="AS209" s="130"/>
      <c r="AT209" s="128"/>
      <c r="AU209" s="129"/>
      <c r="AW209" s="130"/>
      <c r="AX209" s="85"/>
      <c r="AY209" s="84"/>
      <c r="AZ209" s="84"/>
      <c r="BA209" s="131"/>
      <c r="BB209" s="84"/>
      <c r="BE209" s="84"/>
      <c r="BI209" s="86"/>
      <c r="BO209" s="84"/>
      <c r="BT209" s="84"/>
      <c r="BY209" s="84"/>
      <c r="CD209" s="84"/>
      <c r="CI209" s="128"/>
      <c r="CJ209" s="129"/>
      <c r="CL209" s="132"/>
      <c r="CM209" s="128"/>
      <c r="CN209" s="129"/>
      <c r="CP209" s="132"/>
      <c r="CQ209" s="128"/>
      <c r="CR209" s="129"/>
      <c r="CT209" s="132"/>
      <c r="CU209" s="128"/>
      <c r="CV209" s="129"/>
      <c r="CX209" s="132"/>
      <c r="CY209" s="128"/>
      <c r="CZ209" s="129"/>
      <c r="DB209" s="132"/>
      <c r="DC209" s="128"/>
      <c r="DD209" s="129"/>
      <c r="DF209" s="132"/>
      <c r="DG209" s="85"/>
      <c r="DH209" s="85"/>
      <c r="DI209" s="84"/>
      <c r="DK209" s="84"/>
      <c r="DP209" s="84"/>
      <c r="DU209" s="84"/>
      <c r="DY209" s="84"/>
      <c r="EC209" s="84"/>
      <c r="EG209" s="84"/>
      <c r="EK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128"/>
      <c r="AA210" s="129"/>
      <c r="AC210" s="130"/>
      <c r="AD210" s="128"/>
      <c r="AE210" s="129"/>
      <c r="AG210" s="130"/>
      <c r="AH210" s="128"/>
      <c r="AI210" s="129"/>
      <c r="AK210" s="130"/>
      <c r="AL210" s="128"/>
      <c r="AM210" s="129"/>
      <c r="AO210" s="130"/>
      <c r="AP210" s="128"/>
      <c r="AQ210" s="129"/>
      <c r="AS210" s="130"/>
      <c r="AT210" s="128"/>
      <c r="AU210" s="129"/>
      <c r="AW210" s="130"/>
      <c r="AX210" s="85"/>
      <c r="AY210" s="84"/>
      <c r="AZ210" s="84"/>
      <c r="BA210" s="131"/>
      <c r="BB210" s="84"/>
      <c r="BE210" s="84"/>
      <c r="BI210" s="86"/>
      <c r="BO210" s="84"/>
      <c r="BT210" s="84"/>
      <c r="BY210" s="84"/>
      <c r="CD210" s="84"/>
      <c r="CI210" s="128"/>
      <c r="CJ210" s="129"/>
      <c r="CL210" s="132"/>
      <c r="CM210" s="128"/>
      <c r="CN210" s="129"/>
      <c r="CP210" s="132"/>
      <c r="CQ210" s="128"/>
      <c r="CR210" s="129"/>
      <c r="CT210" s="132"/>
      <c r="CU210" s="128"/>
      <c r="CV210" s="129"/>
      <c r="CX210" s="132"/>
      <c r="CY210" s="128"/>
      <c r="CZ210" s="129"/>
      <c r="DB210" s="132"/>
      <c r="DC210" s="128"/>
      <c r="DD210" s="129"/>
      <c r="DF210" s="132"/>
      <c r="DG210" s="85"/>
      <c r="DH210" s="85"/>
      <c r="DI210" s="84"/>
      <c r="DK210" s="84"/>
      <c r="DP210" s="84"/>
      <c r="DU210" s="84"/>
      <c r="DY210" s="84"/>
      <c r="EC210" s="84"/>
      <c r="EG210" s="84"/>
      <c r="EK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128"/>
      <c r="AA211" s="129"/>
      <c r="AC211" s="130"/>
      <c r="AD211" s="128"/>
      <c r="AE211" s="129"/>
      <c r="AG211" s="130"/>
      <c r="AH211" s="128"/>
      <c r="AI211" s="129"/>
      <c r="AK211" s="130"/>
      <c r="AL211" s="128"/>
      <c r="AM211" s="129"/>
      <c r="AO211" s="130"/>
      <c r="AP211" s="128"/>
      <c r="AQ211" s="129"/>
      <c r="AS211" s="130"/>
      <c r="AT211" s="128"/>
      <c r="AU211" s="129"/>
      <c r="AW211" s="130"/>
      <c r="AX211" s="85"/>
      <c r="AY211" s="84"/>
      <c r="AZ211" s="84"/>
      <c r="BA211" s="131"/>
      <c r="BB211" s="84"/>
      <c r="BE211" s="84"/>
      <c r="BI211" s="86"/>
      <c r="BO211" s="84"/>
      <c r="BT211" s="84"/>
      <c r="BY211" s="84"/>
      <c r="CD211" s="84"/>
      <c r="CI211" s="128"/>
      <c r="CJ211" s="129"/>
      <c r="CL211" s="132"/>
      <c r="CM211" s="128"/>
      <c r="CN211" s="129"/>
      <c r="CP211" s="132"/>
      <c r="CQ211" s="128"/>
      <c r="CR211" s="129"/>
      <c r="CT211" s="132"/>
      <c r="CU211" s="128"/>
      <c r="CV211" s="129"/>
      <c r="CX211" s="132"/>
      <c r="CY211" s="128"/>
      <c r="CZ211" s="129"/>
      <c r="DB211" s="132"/>
      <c r="DC211" s="128"/>
      <c r="DD211" s="129"/>
      <c r="DF211" s="132"/>
      <c r="DG211" s="85"/>
      <c r="DH211" s="85"/>
      <c r="DI211" s="84"/>
      <c r="DK211" s="84"/>
      <c r="DP211" s="84"/>
      <c r="DU211" s="84"/>
      <c r="DY211" s="84"/>
      <c r="EC211" s="84"/>
      <c r="EG211" s="84"/>
      <c r="EK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128"/>
      <c r="AA212" s="129"/>
      <c r="AC212" s="130"/>
      <c r="AD212" s="128"/>
      <c r="AE212" s="129"/>
      <c r="AG212" s="130"/>
      <c r="AH212" s="128"/>
      <c r="AI212" s="129"/>
      <c r="AK212" s="130"/>
      <c r="AL212" s="128"/>
      <c r="AM212" s="129"/>
      <c r="AO212" s="130"/>
      <c r="AP212" s="128"/>
      <c r="AQ212" s="129"/>
      <c r="AS212" s="130"/>
      <c r="AT212" s="128"/>
      <c r="AU212" s="129"/>
      <c r="AW212" s="130"/>
      <c r="AX212" s="85"/>
      <c r="AY212" s="84"/>
      <c r="AZ212" s="84"/>
      <c r="BA212" s="131"/>
      <c r="BB212" s="84"/>
      <c r="BE212" s="84"/>
      <c r="BI212" s="86"/>
      <c r="BO212" s="84"/>
      <c r="BT212" s="84"/>
      <c r="BY212" s="84"/>
      <c r="CD212" s="84"/>
      <c r="CI212" s="128"/>
      <c r="CJ212" s="129"/>
      <c r="CL212" s="132"/>
      <c r="CM212" s="128"/>
      <c r="CN212" s="129"/>
      <c r="CP212" s="132"/>
      <c r="CQ212" s="128"/>
      <c r="CR212" s="129"/>
      <c r="CT212" s="132"/>
      <c r="CU212" s="128"/>
      <c r="CV212" s="129"/>
      <c r="CX212" s="132"/>
      <c r="CY212" s="128"/>
      <c r="CZ212" s="129"/>
      <c r="DB212" s="132"/>
      <c r="DC212" s="128"/>
      <c r="DD212" s="129"/>
      <c r="DF212" s="132"/>
      <c r="DG212" s="85"/>
      <c r="DH212" s="85"/>
      <c r="DI212" s="84"/>
      <c r="DK212" s="84"/>
      <c r="DP212" s="84"/>
      <c r="DU212" s="84"/>
      <c r="DY212" s="84"/>
      <c r="EC212" s="84"/>
      <c r="EG212" s="84"/>
      <c r="EK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128"/>
      <c r="AA213" s="129"/>
      <c r="AC213" s="130"/>
      <c r="AD213" s="128"/>
      <c r="AE213" s="129"/>
      <c r="AG213" s="130"/>
      <c r="AH213" s="128"/>
      <c r="AI213" s="129"/>
      <c r="AK213" s="130"/>
      <c r="AL213" s="128"/>
      <c r="AM213" s="129"/>
      <c r="AO213" s="130"/>
      <c r="AP213" s="128"/>
      <c r="AQ213" s="129"/>
      <c r="AS213" s="130"/>
      <c r="AT213" s="128"/>
      <c r="AU213" s="129"/>
      <c r="AW213" s="130"/>
      <c r="AX213" s="85"/>
      <c r="AY213" s="84"/>
      <c r="AZ213" s="84"/>
      <c r="BA213" s="131"/>
      <c r="BB213" s="84"/>
      <c r="BE213" s="84"/>
      <c r="BI213" s="86"/>
      <c r="BO213" s="84"/>
      <c r="BT213" s="84"/>
      <c r="BY213" s="84"/>
      <c r="CD213" s="84"/>
      <c r="CI213" s="128"/>
      <c r="CJ213" s="129"/>
      <c r="CL213" s="132"/>
      <c r="CM213" s="128"/>
      <c r="CN213" s="129"/>
      <c r="CP213" s="132"/>
      <c r="CQ213" s="128"/>
      <c r="CR213" s="129"/>
      <c r="CT213" s="132"/>
      <c r="CU213" s="128"/>
      <c r="CV213" s="129"/>
      <c r="CX213" s="132"/>
      <c r="CY213" s="128"/>
      <c r="CZ213" s="129"/>
      <c r="DB213" s="132"/>
      <c r="DC213" s="128"/>
      <c r="DD213" s="129"/>
      <c r="DF213" s="132"/>
      <c r="DG213" s="85"/>
      <c r="DH213" s="85"/>
      <c r="DI213" s="84"/>
      <c r="DK213" s="84"/>
      <c r="DP213" s="84"/>
      <c r="DU213" s="84"/>
      <c r="DY213" s="84"/>
      <c r="EC213" s="84"/>
      <c r="EG213" s="84"/>
      <c r="EK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128"/>
      <c r="AA214" s="129"/>
      <c r="AC214" s="130"/>
      <c r="AD214" s="128"/>
      <c r="AE214" s="129"/>
      <c r="AG214" s="130"/>
      <c r="AH214" s="128"/>
      <c r="AI214" s="129"/>
      <c r="AK214" s="130"/>
      <c r="AL214" s="128"/>
      <c r="AM214" s="129"/>
      <c r="AO214" s="130"/>
      <c r="AP214" s="128"/>
      <c r="AQ214" s="129"/>
      <c r="AS214" s="130"/>
      <c r="AT214" s="128"/>
      <c r="AU214" s="129"/>
      <c r="AW214" s="130"/>
      <c r="AX214" s="85"/>
      <c r="AY214" s="84"/>
      <c r="AZ214" s="84"/>
      <c r="BA214" s="131"/>
      <c r="BB214" s="84"/>
      <c r="BE214" s="84"/>
      <c r="BI214" s="86"/>
      <c r="BO214" s="84"/>
      <c r="BT214" s="84"/>
      <c r="BY214" s="84"/>
      <c r="CD214" s="84"/>
      <c r="CI214" s="128"/>
      <c r="CJ214" s="129"/>
      <c r="CL214" s="132"/>
      <c r="CM214" s="128"/>
      <c r="CN214" s="129"/>
      <c r="CP214" s="132"/>
      <c r="CQ214" s="128"/>
      <c r="CR214" s="129"/>
      <c r="CT214" s="132"/>
      <c r="CU214" s="128"/>
      <c r="CV214" s="129"/>
      <c r="CX214" s="132"/>
      <c r="CY214" s="128"/>
      <c r="CZ214" s="129"/>
      <c r="DB214" s="132"/>
      <c r="DC214" s="128"/>
      <c r="DD214" s="129"/>
      <c r="DF214" s="132"/>
      <c r="DG214" s="85"/>
      <c r="DH214" s="85"/>
      <c r="DI214" s="84"/>
      <c r="DK214" s="84"/>
      <c r="DP214" s="84"/>
      <c r="DU214" s="84"/>
      <c r="DY214" s="84"/>
      <c r="EC214" s="84"/>
      <c r="EG214" s="84"/>
      <c r="EK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128"/>
      <c r="AA215" s="129"/>
      <c r="AC215" s="130"/>
      <c r="AD215" s="128"/>
      <c r="AE215" s="129"/>
      <c r="AG215" s="130"/>
      <c r="AH215" s="128"/>
      <c r="AI215" s="129"/>
      <c r="AK215" s="130"/>
      <c r="AL215" s="128"/>
      <c r="AM215" s="129"/>
      <c r="AO215" s="130"/>
      <c r="AP215" s="128"/>
      <c r="AQ215" s="129"/>
      <c r="AS215" s="130"/>
      <c r="AT215" s="128"/>
      <c r="AU215" s="129"/>
      <c r="AW215" s="130"/>
      <c r="AX215" s="85"/>
      <c r="AY215" s="84"/>
      <c r="AZ215" s="84"/>
      <c r="BA215" s="131"/>
      <c r="BB215" s="84"/>
      <c r="BE215" s="84"/>
      <c r="BI215" s="86"/>
      <c r="BO215" s="84"/>
      <c r="BT215" s="84"/>
      <c r="BY215" s="84"/>
      <c r="CD215" s="84"/>
      <c r="CI215" s="128"/>
      <c r="CJ215" s="129"/>
      <c r="CL215" s="132"/>
      <c r="CM215" s="128"/>
      <c r="CN215" s="129"/>
      <c r="CP215" s="132"/>
      <c r="CQ215" s="128"/>
      <c r="CR215" s="129"/>
      <c r="CT215" s="132"/>
      <c r="CU215" s="128"/>
      <c r="CV215" s="129"/>
      <c r="CX215" s="132"/>
      <c r="CY215" s="128"/>
      <c r="CZ215" s="129"/>
      <c r="DB215" s="132"/>
      <c r="DC215" s="128"/>
      <c r="DD215" s="129"/>
      <c r="DF215" s="132"/>
      <c r="DG215" s="85"/>
      <c r="DH215" s="85"/>
      <c r="DI215" s="84"/>
      <c r="DK215" s="84"/>
      <c r="DP215" s="84"/>
      <c r="DU215" s="84"/>
      <c r="DY215" s="84"/>
      <c r="EC215" s="84"/>
      <c r="EG215" s="84"/>
      <c r="EK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128"/>
      <c r="AA216" s="129"/>
      <c r="AC216" s="130"/>
      <c r="AD216" s="128"/>
      <c r="AE216" s="129"/>
      <c r="AG216" s="130"/>
      <c r="AH216" s="128"/>
      <c r="AI216" s="129"/>
      <c r="AK216" s="130"/>
      <c r="AL216" s="128"/>
      <c r="AM216" s="129"/>
      <c r="AO216" s="130"/>
      <c r="AP216" s="128"/>
      <c r="AQ216" s="129"/>
      <c r="AS216" s="130"/>
      <c r="AT216" s="128"/>
      <c r="AU216" s="129"/>
      <c r="AW216" s="130"/>
      <c r="AX216" s="85"/>
      <c r="AY216" s="84"/>
      <c r="AZ216" s="84"/>
      <c r="BA216" s="131"/>
      <c r="BB216" s="84"/>
      <c r="BE216" s="84"/>
      <c r="BI216" s="86"/>
      <c r="BO216" s="84"/>
      <c r="BT216" s="84"/>
      <c r="BY216" s="84"/>
      <c r="CD216" s="84"/>
      <c r="CI216" s="128"/>
      <c r="CJ216" s="129"/>
      <c r="CL216" s="132"/>
      <c r="CM216" s="128"/>
      <c r="CN216" s="129"/>
      <c r="CP216" s="132"/>
      <c r="CQ216" s="128"/>
      <c r="CR216" s="129"/>
      <c r="CT216" s="132"/>
      <c r="CU216" s="128"/>
      <c r="CV216" s="129"/>
      <c r="CX216" s="132"/>
      <c r="CY216" s="128"/>
      <c r="CZ216" s="129"/>
      <c r="DB216" s="132"/>
      <c r="DC216" s="128"/>
      <c r="DD216" s="129"/>
      <c r="DF216" s="132"/>
      <c r="DG216" s="85"/>
      <c r="DH216" s="85"/>
      <c r="DI216" s="84"/>
      <c r="DK216" s="84"/>
      <c r="DP216" s="84"/>
      <c r="DU216" s="84"/>
      <c r="DY216" s="84"/>
      <c r="EC216" s="84"/>
      <c r="EG216" s="84"/>
      <c r="EK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128"/>
      <c r="AA217" s="129"/>
      <c r="AC217" s="130"/>
      <c r="AD217" s="128"/>
      <c r="AE217" s="129"/>
      <c r="AG217" s="130"/>
      <c r="AH217" s="128"/>
      <c r="AI217" s="129"/>
      <c r="AK217" s="130"/>
      <c r="AL217" s="128"/>
      <c r="AM217" s="129"/>
      <c r="AO217" s="130"/>
      <c r="AP217" s="128"/>
      <c r="AQ217" s="129"/>
      <c r="AS217" s="130"/>
      <c r="AT217" s="128"/>
      <c r="AU217" s="129"/>
      <c r="AW217" s="130"/>
      <c r="AX217" s="85"/>
      <c r="AY217" s="84"/>
      <c r="AZ217" s="84"/>
      <c r="BA217" s="131"/>
      <c r="BB217" s="84"/>
      <c r="BE217" s="84"/>
      <c r="BI217" s="86"/>
      <c r="BO217" s="84"/>
      <c r="BT217" s="84"/>
      <c r="BY217" s="84"/>
      <c r="CD217" s="84"/>
      <c r="CI217" s="128"/>
      <c r="CJ217" s="129"/>
      <c r="CL217" s="132"/>
      <c r="CM217" s="128"/>
      <c r="CN217" s="129"/>
      <c r="CP217" s="132"/>
      <c r="CQ217" s="128"/>
      <c r="CR217" s="129"/>
      <c r="CT217" s="132"/>
      <c r="CU217" s="128"/>
      <c r="CV217" s="129"/>
      <c r="CX217" s="132"/>
      <c r="CY217" s="128"/>
      <c r="CZ217" s="129"/>
      <c r="DB217" s="132"/>
      <c r="DC217" s="128"/>
      <c r="DD217" s="129"/>
      <c r="DF217" s="132"/>
      <c r="DG217" s="85"/>
      <c r="DH217" s="85"/>
      <c r="DI217" s="84"/>
      <c r="DK217" s="84"/>
      <c r="DP217" s="84"/>
      <c r="DU217" s="84"/>
      <c r="DY217" s="84"/>
      <c r="EC217" s="84"/>
      <c r="EG217" s="84"/>
      <c r="EK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128"/>
      <c r="AA218" s="129"/>
      <c r="AC218" s="130"/>
      <c r="AD218" s="128"/>
      <c r="AE218" s="129"/>
      <c r="AG218" s="130"/>
      <c r="AH218" s="128"/>
      <c r="AI218" s="129"/>
      <c r="AK218" s="130"/>
      <c r="AL218" s="128"/>
      <c r="AM218" s="129"/>
      <c r="AO218" s="130"/>
      <c r="AP218" s="128"/>
      <c r="AQ218" s="129"/>
      <c r="AS218" s="130"/>
      <c r="AT218" s="128"/>
      <c r="AU218" s="129"/>
      <c r="AW218" s="130"/>
      <c r="AX218" s="85"/>
      <c r="AY218" s="84"/>
      <c r="AZ218" s="84"/>
      <c r="BA218" s="131"/>
      <c r="BB218" s="84"/>
      <c r="BE218" s="84"/>
      <c r="BI218" s="86"/>
      <c r="BO218" s="84"/>
      <c r="BT218" s="84"/>
      <c r="BY218" s="84"/>
      <c r="CD218" s="84"/>
      <c r="CI218" s="128"/>
      <c r="CJ218" s="129"/>
      <c r="CL218" s="132"/>
      <c r="CM218" s="128"/>
      <c r="CN218" s="129"/>
      <c r="CP218" s="132"/>
      <c r="CQ218" s="128"/>
      <c r="CR218" s="129"/>
      <c r="CT218" s="132"/>
      <c r="CU218" s="128"/>
      <c r="CV218" s="129"/>
      <c r="CX218" s="132"/>
      <c r="CY218" s="128"/>
      <c r="CZ218" s="129"/>
      <c r="DB218" s="132"/>
      <c r="DC218" s="128"/>
      <c r="DD218" s="129"/>
      <c r="DF218" s="132"/>
      <c r="DG218" s="85"/>
      <c r="DH218" s="85"/>
      <c r="DI218" s="84"/>
      <c r="DK218" s="84"/>
      <c r="DP218" s="84"/>
      <c r="DU218" s="84"/>
      <c r="DY218" s="84"/>
      <c r="EC218" s="84"/>
      <c r="EG218" s="84"/>
      <c r="EK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128"/>
      <c r="AA219" s="129"/>
      <c r="AC219" s="130"/>
      <c r="AD219" s="128"/>
      <c r="AE219" s="129"/>
      <c r="AG219" s="130"/>
      <c r="AH219" s="128"/>
      <c r="AI219" s="129"/>
      <c r="AK219" s="130"/>
      <c r="AL219" s="128"/>
      <c r="AM219" s="129"/>
      <c r="AO219" s="130"/>
      <c r="AP219" s="128"/>
      <c r="AQ219" s="129"/>
      <c r="AS219" s="130"/>
      <c r="AT219" s="128"/>
      <c r="AU219" s="129"/>
      <c r="AW219" s="130"/>
      <c r="AX219" s="85"/>
      <c r="AY219" s="84"/>
      <c r="AZ219" s="84"/>
      <c r="BA219" s="131"/>
      <c r="BB219" s="84"/>
      <c r="BE219" s="84"/>
      <c r="BI219" s="86"/>
      <c r="BO219" s="84"/>
      <c r="BT219" s="84"/>
      <c r="BY219" s="84"/>
      <c r="CD219" s="84"/>
      <c r="CI219" s="128"/>
      <c r="CJ219" s="129"/>
      <c r="CL219" s="132"/>
      <c r="CM219" s="128"/>
      <c r="CN219" s="129"/>
      <c r="CP219" s="132"/>
      <c r="CQ219" s="128"/>
      <c r="CR219" s="129"/>
      <c r="CT219" s="132"/>
      <c r="CU219" s="128"/>
      <c r="CV219" s="129"/>
      <c r="CX219" s="132"/>
      <c r="CY219" s="128"/>
      <c r="CZ219" s="129"/>
      <c r="DB219" s="132"/>
      <c r="DC219" s="128"/>
      <c r="DD219" s="129"/>
      <c r="DF219" s="132"/>
      <c r="DG219" s="85"/>
      <c r="DH219" s="85"/>
      <c r="DI219" s="84"/>
      <c r="DK219" s="84"/>
      <c r="DP219" s="84"/>
      <c r="DU219" s="84"/>
      <c r="DY219" s="84"/>
      <c r="EC219" s="84"/>
      <c r="EG219" s="84"/>
      <c r="EK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128"/>
      <c r="AA220" s="129"/>
      <c r="AC220" s="130"/>
      <c r="AD220" s="128"/>
      <c r="AE220" s="129"/>
      <c r="AG220" s="130"/>
      <c r="AH220" s="128"/>
      <c r="AI220" s="129"/>
      <c r="AK220" s="130"/>
      <c r="AL220" s="128"/>
      <c r="AM220" s="129"/>
      <c r="AO220" s="130"/>
      <c r="AP220" s="128"/>
      <c r="AQ220" s="129"/>
      <c r="AS220" s="130"/>
      <c r="AT220" s="128"/>
      <c r="AU220" s="129"/>
      <c r="AW220" s="130"/>
      <c r="AX220" s="85"/>
      <c r="AY220" s="84"/>
      <c r="AZ220" s="84"/>
      <c r="BA220" s="131"/>
      <c r="BB220" s="84"/>
      <c r="BE220" s="84"/>
      <c r="BI220" s="86"/>
      <c r="BO220" s="84"/>
      <c r="BT220" s="84"/>
      <c r="BY220" s="84"/>
      <c r="CD220" s="84"/>
      <c r="CI220" s="128"/>
      <c r="CJ220" s="129"/>
      <c r="CL220" s="132"/>
      <c r="CM220" s="128"/>
      <c r="CN220" s="129"/>
      <c r="CP220" s="132"/>
      <c r="CQ220" s="128"/>
      <c r="CR220" s="129"/>
      <c r="CT220" s="132"/>
      <c r="CU220" s="128"/>
      <c r="CV220" s="129"/>
      <c r="CX220" s="132"/>
      <c r="CY220" s="128"/>
      <c r="CZ220" s="129"/>
      <c r="DB220" s="132"/>
      <c r="DC220" s="128"/>
      <c r="DD220" s="129"/>
      <c r="DF220" s="132"/>
      <c r="DG220" s="85"/>
      <c r="DH220" s="85"/>
      <c r="DI220" s="84"/>
      <c r="DK220" s="84"/>
      <c r="DP220" s="84"/>
      <c r="DU220" s="84"/>
      <c r="DY220" s="84"/>
      <c r="EC220" s="84"/>
      <c r="EG220" s="84"/>
      <c r="EK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128"/>
      <c r="AA221" s="129"/>
      <c r="AC221" s="130"/>
      <c r="AD221" s="128"/>
      <c r="AE221" s="129"/>
      <c r="AG221" s="130"/>
      <c r="AH221" s="128"/>
      <c r="AI221" s="129"/>
      <c r="AK221" s="130"/>
      <c r="AL221" s="128"/>
      <c r="AM221" s="129"/>
      <c r="AO221" s="130"/>
      <c r="AP221" s="128"/>
      <c r="AQ221" s="129"/>
      <c r="AS221" s="130"/>
      <c r="AT221" s="128"/>
      <c r="AU221" s="129"/>
      <c r="AW221" s="130"/>
      <c r="AX221" s="85"/>
      <c r="AY221" s="84"/>
      <c r="AZ221" s="84"/>
      <c r="BA221" s="131"/>
      <c r="BB221" s="84"/>
      <c r="BE221" s="84"/>
      <c r="BI221" s="86"/>
      <c r="BO221" s="84"/>
      <c r="BT221" s="84"/>
      <c r="BY221" s="84"/>
      <c r="CD221" s="84"/>
      <c r="CI221" s="128"/>
      <c r="CJ221" s="129"/>
      <c r="CL221" s="132"/>
      <c r="CM221" s="128"/>
      <c r="CN221" s="129"/>
      <c r="CP221" s="132"/>
      <c r="CQ221" s="128"/>
      <c r="CR221" s="129"/>
      <c r="CT221" s="132"/>
      <c r="CU221" s="128"/>
      <c r="CV221" s="129"/>
      <c r="CX221" s="132"/>
      <c r="CY221" s="128"/>
      <c r="CZ221" s="129"/>
      <c r="DB221" s="132"/>
      <c r="DC221" s="128"/>
      <c r="DD221" s="129"/>
      <c r="DF221" s="132"/>
      <c r="DG221" s="85"/>
      <c r="DH221" s="85"/>
      <c r="DI221" s="84"/>
      <c r="DK221" s="84"/>
      <c r="DP221" s="84"/>
      <c r="DU221" s="84"/>
      <c r="DY221" s="84"/>
      <c r="EC221" s="84"/>
      <c r="EG221" s="84"/>
      <c r="EK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128"/>
      <c r="AA222" s="129"/>
      <c r="AC222" s="130"/>
      <c r="AD222" s="128"/>
      <c r="AE222" s="129"/>
      <c r="AG222" s="130"/>
      <c r="AH222" s="128"/>
      <c r="AI222" s="129"/>
      <c r="AK222" s="130"/>
      <c r="AL222" s="128"/>
      <c r="AM222" s="129"/>
      <c r="AO222" s="130"/>
      <c r="AP222" s="128"/>
      <c r="AQ222" s="129"/>
      <c r="AS222" s="130"/>
      <c r="AT222" s="128"/>
      <c r="AU222" s="129"/>
      <c r="AW222" s="130"/>
      <c r="AX222" s="85"/>
      <c r="AY222" s="84"/>
      <c r="AZ222" s="84"/>
      <c r="BA222" s="131"/>
      <c r="BB222" s="84"/>
      <c r="BE222" s="84"/>
      <c r="BI222" s="86"/>
      <c r="BO222" s="84"/>
      <c r="BT222" s="84"/>
      <c r="BY222" s="84"/>
      <c r="CD222" s="84"/>
      <c r="CI222" s="128"/>
      <c r="CJ222" s="129"/>
      <c r="CL222" s="132"/>
      <c r="CM222" s="128"/>
      <c r="CN222" s="129"/>
      <c r="CP222" s="132"/>
      <c r="CQ222" s="128"/>
      <c r="CR222" s="129"/>
      <c r="CT222" s="132"/>
      <c r="CU222" s="128"/>
      <c r="CV222" s="129"/>
      <c r="CX222" s="132"/>
      <c r="CY222" s="128"/>
      <c r="CZ222" s="129"/>
      <c r="DB222" s="132"/>
      <c r="DC222" s="128"/>
      <c r="DD222" s="129"/>
      <c r="DF222" s="132"/>
      <c r="DG222" s="85"/>
      <c r="DH222" s="85"/>
      <c r="DI222" s="84"/>
      <c r="DK222" s="84"/>
      <c r="DP222" s="84"/>
      <c r="DU222" s="84"/>
      <c r="DY222" s="84"/>
      <c r="EC222" s="84"/>
      <c r="EG222" s="84"/>
      <c r="EK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128"/>
      <c r="AA223" s="129"/>
      <c r="AC223" s="130"/>
      <c r="AD223" s="128"/>
      <c r="AE223" s="129"/>
      <c r="AG223" s="130"/>
      <c r="AH223" s="128"/>
      <c r="AI223" s="129"/>
      <c r="AK223" s="130"/>
      <c r="AL223" s="128"/>
      <c r="AM223" s="129"/>
      <c r="AO223" s="130"/>
      <c r="AP223" s="128"/>
      <c r="AQ223" s="129"/>
      <c r="AS223" s="130"/>
      <c r="AT223" s="128"/>
      <c r="AU223" s="129"/>
      <c r="AW223" s="130"/>
      <c r="AX223" s="85"/>
      <c r="AY223" s="84"/>
      <c r="AZ223" s="84"/>
      <c r="BA223" s="131"/>
      <c r="BB223" s="84"/>
      <c r="BE223" s="84"/>
      <c r="BI223" s="86"/>
      <c r="BO223" s="84"/>
      <c r="BT223" s="84"/>
      <c r="BY223" s="84"/>
      <c r="CD223" s="84"/>
      <c r="CI223" s="128"/>
      <c r="CJ223" s="129"/>
      <c r="CL223" s="132"/>
      <c r="CM223" s="128"/>
      <c r="CN223" s="129"/>
      <c r="CP223" s="132"/>
      <c r="CQ223" s="128"/>
      <c r="CR223" s="129"/>
      <c r="CT223" s="132"/>
      <c r="CU223" s="128"/>
      <c r="CV223" s="129"/>
      <c r="CX223" s="132"/>
      <c r="CY223" s="128"/>
      <c r="CZ223" s="129"/>
      <c r="DB223" s="132"/>
      <c r="DC223" s="128"/>
      <c r="DD223" s="129"/>
      <c r="DF223" s="132"/>
      <c r="DG223" s="85"/>
      <c r="DH223" s="85"/>
      <c r="DI223" s="84"/>
      <c r="DK223" s="84"/>
      <c r="DP223" s="84"/>
      <c r="DU223" s="84"/>
      <c r="DY223" s="84"/>
      <c r="EC223" s="84"/>
      <c r="EG223" s="84"/>
      <c r="EK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128"/>
      <c r="AA224" s="129"/>
      <c r="AC224" s="130"/>
      <c r="AD224" s="128"/>
      <c r="AE224" s="129"/>
      <c r="AG224" s="130"/>
      <c r="AH224" s="128"/>
      <c r="AI224" s="129"/>
      <c r="AK224" s="130"/>
      <c r="AL224" s="128"/>
      <c r="AM224" s="129"/>
      <c r="AO224" s="130"/>
      <c r="AP224" s="128"/>
      <c r="AQ224" s="129"/>
      <c r="AS224" s="130"/>
      <c r="AT224" s="128"/>
      <c r="AU224" s="129"/>
      <c r="AW224" s="130"/>
      <c r="AX224" s="85"/>
      <c r="AY224" s="84"/>
      <c r="AZ224" s="84"/>
      <c r="BA224" s="131"/>
      <c r="BB224" s="84"/>
      <c r="BE224" s="84"/>
      <c r="BI224" s="86"/>
      <c r="BO224" s="84"/>
      <c r="BT224" s="84"/>
      <c r="BY224" s="84"/>
      <c r="CD224" s="84"/>
      <c r="CI224" s="128"/>
      <c r="CJ224" s="129"/>
      <c r="CL224" s="132"/>
      <c r="CM224" s="128"/>
      <c r="CN224" s="129"/>
      <c r="CP224" s="132"/>
      <c r="CQ224" s="128"/>
      <c r="CR224" s="129"/>
      <c r="CT224" s="132"/>
      <c r="CU224" s="128"/>
      <c r="CV224" s="129"/>
      <c r="CX224" s="132"/>
      <c r="CY224" s="128"/>
      <c r="CZ224" s="129"/>
      <c r="DB224" s="132"/>
      <c r="DC224" s="128"/>
      <c r="DD224" s="129"/>
      <c r="DF224" s="132"/>
      <c r="DG224" s="85"/>
      <c r="DH224" s="85"/>
      <c r="DI224" s="84"/>
      <c r="DK224" s="84"/>
      <c r="DP224" s="84"/>
      <c r="DU224" s="84"/>
      <c r="DY224" s="84"/>
      <c r="EC224" s="84"/>
      <c r="EG224" s="84"/>
      <c r="EK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128"/>
      <c r="AA225" s="129"/>
      <c r="AC225" s="130"/>
      <c r="AD225" s="128"/>
      <c r="AE225" s="129"/>
      <c r="AG225" s="130"/>
      <c r="AH225" s="128"/>
      <c r="AI225" s="129"/>
      <c r="AK225" s="130"/>
      <c r="AL225" s="128"/>
      <c r="AM225" s="129"/>
      <c r="AO225" s="130"/>
      <c r="AP225" s="128"/>
      <c r="AQ225" s="129"/>
      <c r="AS225" s="130"/>
      <c r="AT225" s="128"/>
      <c r="AU225" s="129"/>
      <c r="AW225" s="130"/>
      <c r="AX225" s="85"/>
      <c r="AY225" s="84"/>
      <c r="AZ225" s="84"/>
      <c r="BA225" s="131"/>
      <c r="BB225" s="84"/>
      <c r="BE225" s="84"/>
      <c r="BI225" s="86"/>
      <c r="BO225" s="84"/>
      <c r="BT225" s="84"/>
      <c r="BY225" s="84"/>
      <c r="CD225" s="84"/>
      <c r="CI225" s="128"/>
      <c r="CJ225" s="129"/>
      <c r="CL225" s="132"/>
      <c r="CM225" s="128"/>
      <c r="CN225" s="129"/>
      <c r="CP225" s="132"/>
      <c r="CQ225" s="128"/>
      <c r="CR225" s="129"/>
      <c r="CT225" s="132"/>
      <c r="CU225" s="128"/>
      <c r="CV225" s="129"/>
      <c r="CX225" s="132"/>
      <c r="CY225" s="128"/>
      <c r="CZ225" s="129"/>
      <c r="DB225" s="132"/>
      <c r="DC225" s="128"/>
      <c r="DD225" s="129"/>
      <c r="DF225" s="132"/>
      <c r="DG225" s="85"/>
      <c r="DH225" s="85"/>
      <c r="DI225" s="84"/>
      <c r="DK225" s="84"/>
      <c r="DP225" s="84"/>
      <c r="DU225" s="84"/>
      <c r="DY225" s="84"/>
      <c r="EC225" s="84"/>
      <c r="EG225" s="84"/>
      <c r="EK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128"/>
      <c r="AA226" s="129"/>
      <c r="AC226" s="130"/>
      <c r="AD226" s="128"/>
      <c r="AE226" s="129"/>
      <c r="AG226" s="130"/>
      <c r="AH226" s="128"/>
      <c r="AI226" s="129"/>
      <c r="AK226" s="130"/>
      <c r="AL226" s="128"/>
      <c r="AM226" s="129"/>
      <c r="AO226" s="130"/>
      <c r="AP226" s="128"/>
      <c r="AQ226" s="129"/>
      <c r="AS226" s="130"/>
      <c r="AT226" s="128"/>
      <c r="AU226" s="129"/>
      <c r="AW226" s="130"/>
      <c r="AX226" s="85"/>
      <c r="AY226" s="84"/>
      <c r="AZ226" s="84"/>
      <c r="BA226" s="131"/>
      <c r="BB226" s="84"/>
      <c r="BE226" s="84"/>
      <c r="BI226" s="86"/>
      <c r="BO226" s="84"/>
      <c r="BT226" s="84"/>
      <c r="BY226" s="84"/>
      <c r="CD226" s="84"/>
      <c r="CI226" s="128"/>
      <c r="CJ226" s="129"/>
      <c r="CL226" s="132"/>
      <c r="CM226" s="128"/>
      <c r="CN226" s="129"/>
      <c r="CP226" s="132"/>
      <c r="CQ226" s="128"/>
      <c r="CR226" s="129"/>
      <c r="CT226" s="132"/>
      <c r="CU226" s="128"/>
      <c r="CV226" s="129"/>
      <c r="CX226" s="132"/>
      <c r="CY226" s="128"/>
      <c r="CZ226" s="129"/>
      <c r="DB226" s="132"/>
      <c r="DC226" s="128"/>
      <c r="DD226" s="129"/>
      <c r="DF226" s="132"/>
      <c r="DG226" s="85"/>
      <c r="DH226" s="85"/>
      <c r="DI226" s="84"/>
      <c r="DK226" s="84"/>
      <c r="DP226" s="84"/>
      <c r="DU226" s="84"/>
      <c r="DY226" s="84"/>
      <c r="EC226" s="84"/>
      <c r="EG226" s="84"/>
      <c r="EK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128"/>
      <c r="AA227" s="129"/>
      <c r="AC227" s="130"/>
      <c r="AD227" s="128"/>
      <c r="AE227" s="129"/>
      <c r="AG227" s="130"/>
      <c r="AH227" s="128"/>
      <c r="AI227" s="129"/>
      <c r="AK227" s="130"/>
      <c r="AL227" s="128"/>
      <c r="AM227" s="129"/>
      <c r="AO227" s="130"/>
      <c r="AP227" s="128"/>
      <c r="AQ227" s="129"/>
      <c r="AS227" s="130"/>
      <c r="AT227" s="128"/>
      <c r="AU227" s="129"/>
      <c r="AW227" s="130"/>
      <c r="AX227" s="85"/>
      <c r="AY227" s="84"/>
      <c r="AZ227" s="84"/>
      <c r="BA227" s="131"/>
      <c r="BB227" s="84"/>
      <c r="BE227" s="84"/>
      <c r="BI227" s="86"/>
      <c r="BO227" s="84"/>
      <c r="BT227" s="84"/>
      <c r="BY227" s="84"/>
      <c r="CD227" s="84"/>
      <c r="CI227" s="128"/>
      <c r="CJ227" s="129"/>
      <c r="CL227" s="132"/>
      <c r="CM227" s="128"/>
      <c r="CN227" s="129"/>
      <c r="CP227" s="132"/>
      <c r="CQ227" s="128"/>
      <c r="CR227" s="129"/>
      <c r="CT227" s="132"/>
      <c r="CU227" s="128"/>
      <c r="CV227" s="129"/>
      <c r="CX227" s="132"/>
      <c r="CY227" s="128"/>
      <c r="CZ227" s="129"/>
      <c r="DB227" s="132"/>
      <c r="DC227" s="128"/>
      <c r="DD227" s="129"/>
      <c r="DF227" s="132"/>
      <c r="DG227" s="85"/>
      <c r="DH227" s="85"/>
      <c r="DI227" s="84"/>
      <c r="DK227" s="84"/>
      <c r="DP227" s="84"/>
      <c r="DU227" s="84"/>
      <c r="DY227" s="84"/>
      <c r="EC227" s="84"/>
      <c r="EG227" s="84"/>
      <c r="EK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128"/>
      <c r="AA228" s="129"/>
      <c r="AC228" s="130"/>
      <c r="AD228" s="128"/>
      <c r="AE228" s="129"/>
      <c r="AG228" s="130"/>
      <c r="AH228" s="128"/>
      <c r="AI228" s="129"/>
      <c r="AK228" s="130"/>
      <c r="AL228" s="128"/>
      <c r="AM228" s="129"/>
      <c r="AO228" s="130"/>
      <c r="AP228" s="128"/>
      <c r="AQ228" s="129"/>
      <c r="AS228" s="130"/>
      <c r="AT228" s="128"/>
      <c r="AU228" s="129"/>
      <c r="AW228" s="130"/>
      <c r="AX228" s="85"/>
      <c r="AY228" s="84"/>
      <c r="AZ228" s="84"/>
      <c r="BA228" s="131"/>
      <c r="BB228" s="84"/>
      <c r="BE228" s="84"/>
      <c r="BI228" s="86"/>
      <c r="BO228" s="84"/>
      <c r="BT228" s="84"/>
      <c r="BY228" s="84"/>
      <c r="CD228" s="84"/>
      <c r="CI228" s="128"/>
      <c r="CJ228" s="129"/>
      <c r="CL228" s="132"/>
      <c r="CM228" s="128"/>
      <c r="CN228" s="129"/>
      <c r="CP228" s="132"/>
      <c r="CQ228" s="128"/>
      <c r="CR228" s="129"/>
      <c r="CT228" s="132"/>
      <c r="CU228" s="128"/>
      <c r="CV228" s="129"/>
      <c r="CX228" s="132"/>
      <c r="CY228" s="128"/>
      <c r="CZ228" s="129"/>
      <c r="DB228" s="132"/>
      <c r="DC228" s="128"/>
      <c r="DD228" s="129"/>
      <c r="DF228" s="132"/>
      <c r="DG228" s="85"/>
      <c r="DH228" s="85"/>
      <c r="DI228" s="84"/>
      <c r="DK228" s="84"/>
      <c r="DP228" s="84"/>
      <c r="DU228" s="84"/>
      <c r="DY228" s="84"/>
      <c r="EC228" s="84"/>
      <c r="EG228" s="84"/>
      <c r="EK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128"/>
      <c r="AA229" s="129"/>
      <c r="AC229" s="130"/>
      <c r="AD229" s="128"/>
      <c r="AE229" s="129"/>
      <c r="AG229" s="130"/>
      <c r="AH229" s="128"/>
      <c r="AI229" s="129"/>
      <c r="AK229" s="130"/>
      <c r="AL229" s="128"/>
      <c r="AM229" s="129"/>
      <c r="AO229" s="130"/>
      <c r="AP229" s="128"/>
      <c r="AQ229" s="129"/>
      <c r="AS229" s="130"/>
      <c r="AT229" s="128"/>
      <c r="AU229" s="129"/>
      <c r="AW229" s="130"/>
      <c r="AX229" s="85"/>
      <c r="AY229" s="84"/>
      <c r="AZ229" s="84"/>
      <c r="BA229" s="131"/>
      <c r="BB229" s="84"/>
      <c r="BE229" s="84"/>
      <c r="BI229" s="86"/>
      <c r="BO229" s="84"/>
      <c r="BT229" s="84"/>
      <c r="BY229" s="84"/>
      <c r="CD229" s="84"/>
      <c r="CI229" s="128"/>
      <c r="CJ229" s="129"/>
      <c r="CL229" s="132"/>
      <c r="CM229" s="128"/>
      <c r="CN229" s="129"/>
      <c r="CP229" s="132"/>
      <c r="CQ229" s="128"/>
      <c r="CR229" s="129"/>
      <c r="CT229" s="132"/>
      <c r="CU229" s="128"/>
      <c r="CV229" s="129"/>
      <c r="CX229" s="132"/>
      <c r="CY229" s="128"/>
      <c r="CZ229" s="129"/>
      <c r="DB229" s="132"/>
      <c r="DC229" s="128"/>
      <c r="DD229" s="129"/>
      <c r="DF229" s="132"/>
      <c r="DG229" s="85"/>
      <c r="DH229" s="85"/>
      <c r="DI229" s="84"/>
      <c r="DK229" s="84"/>
      <c r="DP229" s="84"/>
      <c r="DU229" s="84"/>
      <c r="DY229" s="84"/>
      <c r="EC229" s="84"/>
      <c r="EG229" s="84"/>
      <c r="EK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128"/>
      <c r="AA230" s="129"/>
      <c r="AC230" s="130"/>
      <c r="AD230" s="128"/>
      <c r="AE230" s="129"/>
      <c r="AG230" s="130"/>
      <c r="AH230" s="128"/>
      <c r="AI230" s="129"/>
      <c r="AK230" s="130"/>
      <c r="AL230" s="128"/>
      <c r="AM230" s="129"/>
      <c r="AO230" s="130"/>
      <c r="AP230" s="128"/>
      <c r="AQ230" s="129"/>
      <c r="AS230" s="130"/>
      <c r="AT230" s="128"/>
      <c r="AU230" s="129"/>
      <c r="AW230" s="130"/>
      <c r="AX230" s="85"/>
      <c r="AY230" s="84"/>
      <c r="AZ230" s="84"/>
      <c r="BA230" s="131"/>
      <c r="BB230" s="84"/>
      <c r="BE230" s="84"/>
      <c r="BI230" s="86"/>
      <c r="BO230" s="84"/>
      <c r="BT230" s="84"/>
      <c r="BY230" s="84"/>
      <c r="CD230" s="84"/>
      <c r="CI230" s="128"/>
      <c r="CJ230" s="129"/>
      <c r="CL230" s="132"/>
      <c r="CM230" s="128"/>
      <c r="CN230" s="129"/>
      <c r="CP230" s="132"/>
      <c r="CQ230" s="128"/>
      <c r="CR230" s="129"/>
      <c r="CT230" s="132"/>
      <c r="CU230" s="128"/>
      <c r="CV230" s="129"/>
      <c r="CX230" s="132"/>
      <c r="CY230" s="128"/>
      <c r="CZ230" s="129"/>
      <c r="DB230" s="132"/>
      <c r="DC230" s="128"/>
      <c r="DD230" s="129"/>
      <c r="DF230" s="132"/>
      <c r="DG230" s="85"/>
      <c r="DH230" s="85"/>
      <c r="DI230" s="84"/>
      <c r="DK230" s="84"/>
      <c r="DP230" s="84"/>
      <c r="DU230" s="84"/>
      <c r="DY230" s="84"/>
      <c r="EC230" s="84"/>
      <c r="EG230" s="84"/>
      <c r="EK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128"/>
      <c r="AA231" s="129"/>
      <c r="AC231" s="130"/>
      <c r="AD231" s="128"/>
      <c r="AE231" s="129"/>
      <c r="AG231" s="130"/>
      <c r="AH231" s="128"/>
      <c r="AI231" s="129"/>
      <c r="AK231" s="130"/>
      <c r="AL231" s="128"/>
      <c r="AM231" s="129"/>
      <c r="AO231" s="130"/>
      <c r="AP231" s="128"/>
      <c r="AQ231" s="129"/>
      <c r="AS231" s="130"/>
      <c r="AT231" s="128"/>
      <c r="AU231" s="129"/>
      <c r="AW231" s="130"/>
      <c r="AX231" s="85"/>
      <c r="AY231" s="84"/>
      <c r="AZ231" s="84"/>
      <c r="BA231" s="131"/>
      <c r="BB231" s="84"/>
      <c r="BE231" s="84"/>
      <c r="BI231" s="86"/>
      <c r="BO231" s="84"/>
      <c r="BT231" s="84"/>
      <c r="BY231" s="84"/>
      <c r="CD231" s="84"/>
      <c r="CI231" s="128"/>
      <c r="CJ231" s="129"/>
      <c r="CL231" s="132"/>
      <c r="CM231" s="128"/>
      <c r="CN231" s="129"/>
      <c r="CP231" s="132"/>
      <c r="CQ231" s="128"/>
      <c r="CR231" s="129"/>
      <c r="CT231" s="132"/>
      <c r="CU231" s="128"/>
      <c r="CV231" s="129"/>
      <c r="CX231" s="132"/>
      <c r="CY231" s="128"/>
      <c r="CZ231" s="129"/>
      <c r="DB231" s="132"/>
      <c r="DC231" s="128"/>
      <c r="DD231" s="129"/>
      <c r="DF231" s="132"/>
      <c r="DG231" s="85"/>
      <c r="DH231" s="85"/>
      <c r="DI231" s="84"/>
      <c r="DK231" s="84"/>
      <c r="DP231" s="84"/>
      <c r="DU231" s="84"/>
      <c r="DY231" s="84"/>
      <c r="EC231" s="84"/>
      <c r="EG231" s="84"/>
      <c r="EK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128"/>
      <c r="AA232" s="129"/>
      <c r="AC232" s="130"/>
      <c r="AD232" s="128"/>
      <c r="AE232" s="129"/>
      <c r="AG232" s="130"/>
      <c r="AH232" s="128"/>
      <c r="AI232" s="129"/>
      <c r="AK232" s="130"/>
      <c r="AL232" s="128"/>
      <c r="AM232" s="129"/>
      <c r="AO232" s="130"/>
      <c r="AP232" s="128"/>
      <c r="AQ232" s="129"/>
      <c r="AS232" s="130"/>
      <c r="AT232" s="128"/>
      <c r="AU232" s="129"/>
      <c r="AW232" s="130"/>
      <c r="AX232" s="85"/>
      <c r="AY232" s="84"/>
      <c r="AZ232" s="84"/>
      <c r="BA232" s="131"/>
      <c r="BB232" s="84"/>
      <c r="BE232" s="84"/>
      <c r="BI232" s="86"/>
      <c r="BO232" s="84"/>
      <c r="BT232" s="84"/>
      <c r="BY232" s="84"/>
      <c r="CD232" s="84"/>
      <c r="CI232" s="128"/>
      <c r="CJ232" s="129"/>
      <c r="CL232" s="132"/>
      <c r="CM232" s="128"/>
      <c r="CN232" s="129"/>
      <c r="CP232" s="132"/>
      <c r="CQ232" s="128"/>
      <c r="CR232" s="129"/>
      <c r="CT232" s="132"/>
      <c r="CU232" s="128"/>
      <c r="CV232" s="129"/>
      <c r="CX232" s="132"/>
      <c r="CY232" s="128"/>
      <c r="CZ232" s="129"/>
      <c r="DB232" s="132"/>
      <c r="DC232" s="128"/>
      <c r="DD232" s="129"/>
      <c r="DF232" s="132"/>
      <c r="DG232" s="85"/>
      <c r="DH232" s="85"/>
      <c r="DI232" s="84"/>
      <c r="DK232" s="84"/>
      <c r="DP232" s="84"/>
      <c r="DU232" s="84"/>
      <c r="DY232" s="84"/>
      <c r="EC232" s="84"/>
      <c r="EG232" s="84"/>
      <c r="EK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128"/>
      <c r="AA233" s="129"/>
      <c r="AC233" s="130"/>
      <c r="AD233" s="128"/>
      <c r="AE233" s="129"/>
      <c r="AG233" s="130"/>
      <c r="AH233" s="128"/>
      <c r="AI233" s="129"/>
      <c r="AK233" s="130"/>
      <c r="AL233" s="128"/>
      <c r="AM233" s="129"/>
      <c r="AO233" s="130"/>
      <c r="AP233" s="128"/>
      <c r="AQ233" s="129"/>
      <c r="AS233" s="130"/>
      <c r="AT233" s="128"/>
      <c r="AU233" s="129"/>
      <c r="AW233" s="130"/>
      <c r="AX233" s="85"/>
      <c r="AY233" s="84"/>
      <c r="AZ233" s="84"/>
      <c r="BA233" s="131"/>
      <c r="BB233" s="84"/>
      <c r="BE233" s="84"/>
      <c r="BI233" s="86"/>
      <c r="BO233" s="84"/>
      <c r="BT233" s="84"/>
      <c r="BY233" s="84"/>
      <c r="CD233" s="84"/>
      <c r="CI233" s="128"/>
      <c r="CJ233" s="129"/>
      <c r="CL233" s="132"/>
      <c r="CM233" s="128"/>
      <c r="CN233" s="129"/>
      <c r="CP233" s="132"/>
      <c r="CQ233" s="128"/>
      <c r="CR233" s="129"/>
      <c r="CT233" s="132"/>
      <c r="CU233" s="128"/>
      <c r="CV233" s="129"/>
      <c r="CX233" s="132"/>
      <c r="CY233" s="128"/>
      <c r="CZ233" s="129"/>
      <c r="DB233" s="132"/>
      <c r="DC233" s="128"/>
      <c r="DD233" s="129"/>
      <c r="DF233" s="132"/>
      <c r="DG233" s="85"/>
      <c r="DH233" s="85"/>
      <c r="DI233" s="84"/>
      <c r="DK233" s="84"/>
      <c r="DP233" s="84"/>
      <c r="DU233" s="84"/>
      <c r="DY233" s="84"/>
      <c r="EC233" s="84"/>
      <c r="EG233" s="84"/>
      <c r="EK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128"/>
      <c r="AA234" s="129"/>
      <c r="AC234" s="130"/>
      <c r="AD234" s="128"/>
      <c r="AE234" s="129"/>
      <c r="AG234" s="130"/>
      <c r="AH234" s="128"/>
      <c r="AI234" s="129"/>
      <c r="AK234" s="130"/>
      <c r="AL234" s="128"/>
      <c r="AM234" s="129"/>
      <c r="AO234" s="130"/>
      <c r="AP234" s="128"/>
      <c r="AQ234" s="129"/>
      <c r="AS234" s="130"/>
      <c r="AT234" s="128"/>
      <c r="AU234" s="129"/>
      <c r="AW234" s="130"/>
      <c r="AX234" s="85"/>
      <c r="AY234" s="84"/>
      <c r="AZ234" s="84"/>
      <c r="BA234" s="131"/>
      <c r="BB234" s="84"/>
      <c r="BE234" s="84"/>
      <c r="BI234" s="86"/>
      <c r="BO234" s="84"/>
      <c r="BT234" s="84"/>
      <c r="BY234" s="84"/>
      <c r="CD234" s="84"/>
      <c r="CI234" s="128"/>
      <c r="CJ234" s="129"/>
      <c r="CL234" s="132"/>
      <c r="CM234" s="128"/>
      <c r="CN234" s="129"/>
      <c r="CP234" s="132"/>
      <c r="CQ234" s="128"/>
      <c r="CR234" s="129"/>
      <c r="CT234" s="132"/>
      <c r="CU234" s="128"/>
      <c r="CV234" s="129"/>
      <c r="CX234" s="132"/>
      <c r="CY234" s="128"/>
      <c r="CZ234" s="129"/>
      <c r="DB234" s="132"/>
      <c r="DC234" s="128"/>
      <c r="DD234" s="129"/>
      <c r="DF234" s="132"/>
      <c r="DG234" s="85"/>
      <c r="DH234" s="85"/>
      <c r="DI234" s="84"/>
      <c r="DK234" s="84"/>
      <c r="DP234" s="84"/>
      <c r="DU234" s="84"/>
      <c r="DY234" s="84"/>
      <c r="EC234" s="84"/>
      <c r="EG234" s="84"/>
      <c r="EK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128"/>
      <c r="AA235" s="129"/>
      <c r="AC235" s="130"/>
      <c r="AD235" s="128"/>
      <c r="AE235" s="129"/>
      <c r="AG235" s="130"/>
      <c r="AH235" s="128"/>
      <c r="AI235" s="129"/>
      <c r="AK235" s="130"/>
      <c r="AL235" s="128"/>
      <c r="AM235" s="129"/>
      <c r="AO235" s="130"/>
      <c r="AP235" s="128"/>
      <c r="AQ235" s="129"/>
      <c r="AS235" s="130"/>
      <c r="AT235" s="128"/>
      <c r="AU235" s="129"/>
      <c r="AW235" s="130"/>
      <c r="AX235" s="85"/>
      <c r="AY235" s="84"/>
      <c r="AZ235" s="84"/>
      <c r="BA235" s="131"/>
      <c r="BB235" s="84"/>
      <c r="BE235" s="84"/>
      <c r="BI235" s="86"/>
      <c r="BO235" s="84"/>
      <c r="BT235" s="84"/>
      <c r="BY235" s="84"/>
      <c r="CD235" s="84"/>
      <c r="CI235" s="128"/>
      <c r="CJ235" s="129"/>
      <c r="CL235" s="132"/>
      <c r="CM235" s="128"/>
      <c r="CN235" s="129"/>
      <c r="CP235" s="132"/>
      <c r="CQ235" s="128"/>
      <c r="CR235" s="129"/>
      <c r="CT235" s="132"/>
      <c r="CU235" s="128"/>
      <c r="CV235" s="129"/>
      <c r="CX235" s="132"/>
      <c r="CY235" s="128"/>
      <c r="CZ235" s="129"/>
      <c r="DB235" s="132"/>
      <c r="DC235" s="128"/>
      <c r="DD235" s="129"/>
      <c r="DF235" s="132"/>
      <c r="DG235" s="85"/>
      <c r="DH235" s="85"/>
      <c r="DI235" s="84"/>
      <c r="DK235" s="84"/>
      <c r="DP235" s="84"/>
      <c r="DU235" s="84"/>
      <c r="DY235" s="84"/>
      <c r="EC235" s="84"/>
      <c r="EG235" s="84"/>
      <c r="EK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128"/>
      <c r="AA236" s="129"/>
      <c r="AC236" s="130"/>
      <c r="AD236" s="128"/>
      <c r="AE236" s="129"/>
      <c r="AG236" s="130"/>
      <c r="AH236" s="128"/>
      <c r="AI236" s="129"/>
      <c r="AK236" s="130"/>
      <c r="AL236" s="128"/>
      <c r="AM236" s="129"/>
      <c r="AO236" s="130"/>
      <c r="AP236" s="128"/>
      <c r="AQ236" s="129"/>
      <c r="AS236" s="130"/>
      <c r="AT236" s="128"/>
      <c r="AU236" s="129"/>
      <c r="AW236" s="130"/>
      <c r="AX236" s="85"/>
      <c r="AY236" s="84"/>
      <c r="AZ236" s="84"/>
      <c r="BA236" s="131"/>
      <c r="BB236" s="84"/>
      <c r="BE236" s="84"/>
      <c r="BI236" s="86"/>
      <c r="BO236" s="84"/>
      <c r="BT236" s="84"/>
      <c r="BY236" s="84"/>
      <c r="CD236" s="84"/>
      <c r="CI236" s="128"/>
      <c r="CJ236" s="129"/>
      <c r="CL236" s="132"/>
      <c r="CM236" s="128"/>
      <c r="CN236" s="129"/>
      <c r="CP236" s="132"/>
      <c r="CQ236" s="128"/>
      <c r="CR236" s="129"/>
      <c r="CT236" s="132"/>
      <c r="CU236" s="128"/>
      <c r="CV236" s="129"/>
      <c r="CX236" s="132"/>
      <c r="CY236" s="128"/>
      <c r="CZ236" s="129"/>
      <c r="DB236" s="132"/>
      <c r="DC236" s="128"/>
      <c r="DD236" s="129"/>
      <c r="DF236" s="132"/>
      <c r="DG236" s="85"/>
      <c r="DH236" s="85"/>
      <c r="DI236" s="84"/>
      <c r="DK236" s="84"/>
      <c r="DP236" s="84"/>
      <c r="DU236" s="84"/>
      <c r="DY236" s="84"/>
      <c r="EC236" s="84"/>
      <c r="EG236" s="84"/>
      <c r="EK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128"/>
      <c r="AA237" s="129"/>
      <c r="AC237" s="130"/>
      <c r="AD237" s="128"/>
      <c r="AE237" s="129"/>
      <c r="AG237" s="130"/>
      <c r="AH237" s="128"/>
      <c r="AI237" s="129"/>
      <c r="AK237" s="130"/>
      <c r="AL237" s="128"/>
      <c r="AM237" s="129"/>
      <c r="AO237" s="130"/>
      <c r="AP237" s="128"/>
      <c r="AQ237" s="129"/>
      <c r="AS237" s="130"/>
      <c r="AT237" s="128"/>
      <c r="AU237" s="129"/>
      <c r="AW237" s="130"/>
      <c r="AX237" s="85"/>
      <c r="AY237" s="84"/>
      <c r="AZ237" s="84"/>
      <c r="BA237" s="131"/>
      <c r="BB237" s="84"/>
      <c r="BE237" s="84"/>
      <c r="BI237" s="86"/>
      <c r="BO237" s="84"/>
      <c r="BT237" s="84"/>
      <c r="BY237" s="84"/>
      <c r="CD237" s="84"/>
      <c r="CI237" s="128"/>
      <c r="CJ237" s="129"/>
      <c r="CL237" s="132"/>
      <c r="CM237" s="128"/>
      <c r="CN237" s="129"/>
      <c r="CP237" s="132"/>
      <c r="CQ237" s="128"/>
      <c r="CR237" s="129"/>
      <c r="CT237" s="132"/>
      <c r="CU237" s="128"/>
      <c r="CV237" s="129"/>
      <c r="CX237" s="132"/>
      <c r="CY237" s="128"/>
      <c r="CZ237" s="129"/>
      <c r="DB237" s="132"/>
      <c r="DC237" s="128"/>
      <c r="DD237" s="129"/>
      <c r="DF237" s="132"/>
      <c r="DG237" s="85"/>
      <c r="DH237" s="85"/>
      <c r="DI237" s="84"/>
      <c r="DK237" s="84"/>
      <c r="DP237" s="84"/>
      <c r="DU237" s="84"/>
      <c r="DY237" s="84"/>
      <c r="EC237" s="84"/>
      <c r="EG237" s="84"/>
      <c r="EK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128"/>
      <c r="AA238" s="129"/>
      <c r="AC238" s="130"/>
      <c r="AD238" s="128"/>
      <c r="AE238" s="129"/>
      <c r="AG238" s="130"/>
      <c r="AH238" s="128"/>
      <c r="AI238" s="129"/>
      <c r="AK238" s="130"/>
      <c r="AL238" s="128"/>
      <c r="AM238" s="129"/>
      <c r="AO238" s="130"/>
      <c r="AP238" s="128"/>
      <c r="AQ238" s="129"/>
      <c r="AS238" s="130"/>
      <c r="AT238" s="128"/>
      <c r="AU238" s="129"/>
      <c r="AW238" s="130"/>
      <c r="AX238" s="85"/>
      <c r="AY238" s="84"/>
      <c r="AZ238" s="84"/>
      <c r="BA238" s="131"/>
      <c r="BB238" s="84"/>
      <c r="BE238" s="84"/>
      <c r="BI238" s="86"/>
      <c r="BO238" s="84"/>
      <c r="BT238" s="84"/>
      <c r="BY238" s="84"/>
      <c r="CD238" s="84"/>
      <c r="CI238" s="128"/>
      <c r="CJ238" s="129"/>
      <c r="CL238" s="132"/>
      <c r="CM238" s="128"/>
      <c r="CN238" s="129"/>
      <c r="CP238" s="132"/>
      <c r="CQ238" s="128"/>
      <c r="CR238" s="129"/>
      <c r="CT238" s="132"/>
      <c r="CU238" s="128"/>
      <c r="CV238" s="129"/>
      <c r="CX238" s="132"/>
      <c r="CY238" s="128"/>
      <c r="CZ238" s="129"/>
      <c r="DB238" s="132"/>
      <c r="DC238" s="128"/>
      <c r="DD238" s="129"/>
      <c r="DF238" s="132"/>
      <c r="DG238" s="85"/>
      <c r="DH238" s="85"/>
      <c r="DI238" s="84"/>
      <c r="DK238" s="84"/>
      <c r="DP238" s="84"/>
      <c r="DU238" s="84"/>
      <c r="DY238" s="84"/>
      <c r="EC238" s="84"/>
      <c r="EG238" s="84"/>
      <c r="EK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128"/>
      <c r="AA239" s="129"/>
      <c r="AC239" s="130"/>
      <c r="AD239" s="128"/>
      <c r="AE239" s="129"/>
      <c r="AG239" s="130"/>
      <c r="AH239" s="128"/>
      <c r="AI239" s="129"/>
      <c r="AK239" s="130"/>
      <c r="AL239" s="128"/>
      <c r="AM239" s="129"/>
      <c r="AO239" s="130"/>
      <c r="AP239" s="128"/>
      <c r="AQ239" s="129"/>
      <c r="AS239" s="130"/>
      <c r="AT239" s="128"/>
      <c r="AU239" s="129"/>
      <c r="AW239" s="130"/>
      <c r="AX239" s="85"/>
      <c r="AY239" s="84"/>
      <c r="AZ239" s="84"/>
      <c r="BA239" s="131"/>
      <c r="BB239" s="84"/>
      <c r="BE239" s="84"/>
      <c r="BI239" s="86"/>
      <c r="BO239" s="84"/>
      <c r="BT239" s="84"/>
      <c r="BY239" s="84"/>
      <c r="CD239" s="84"/>
      <c r="CI239" s="128"/>
      <c r="CJ239" s="129"/>
      <c r="CL239" s="132"/>
      <c r="CM239" s="128"/>
      <c r="CN239" s="129"/>
      <c r="CP239" s="132"/>
      <c r="CQ239" s="128"/>
      <c r="CR239" s="129"/>
      <c r="CT239" s="132"/>
      <c r="CU239" s="128"/>
      <c r="CV239" s="129"/>
      <c r="CX239" s="132"/>
      <c r="CY239" s="128"/>
      <c r="CZ239" s="129"/>
      <c r="DB239" s="132"/>
      <c r="DC239" s="128"/>
      <c r="DD239" s="129"/>
      <c r="DF239" s="132"/>
      <c r="DG239" s="85"/>
      <c r="DH239" s="85"/>
      <c r="DI239" s="84"/>
      <c r="DK239" s="84"/>
      <c r="DP239" s="84"/>
      <c r="DU239" s="84"/>
      <c r="DY239" s="84"/>
      <c r="EC239" s="84"/>
      <c r="EG239" s="84"/>
      <c r="EK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128"/>
      <c r="AA240" s="129"/>
      <c r="AC240" s="130"/>
      <c r="AD240" s="128"/>
      <c r="AE240" s="129"/>
      <c r="AG240" s="130"/>
      <c r="AH240" s="128"/>
      <c r="AI240" s="129"/>
      <c r="AK240" s="130"/>
      <c r="AL240" s="128"/>
      <c r="AM240" s="129"/>
      <c r="AO240" s="130"/>
      <c r="AP240" s="128"/>
      <c r="AQ240" s="129"/>
      <c r="AS240" s="130"/>
      <c r="AT240" s="128"/>
      <c r="AU240" s="129"/>
      <c r="AW240" s="130"/>
      <c r="AX240" s="85"/>
      <c r="AY240" s="84"/>
      <c r="AZ240" s="84"/>
      <c r="BA240" s="131"/>
      <c r="BB240" s="84"/>
      <c r="BE240" s="84"/>
      <c r="BI240" s="86"/>
      <c r="BO240" s="84"/>
      <c r="BT240" s="84"/>
      <c r="BY240" s="84"/>
      <c r="CD240" s="84"/>
      <c r="CI240" s="128"/>
      <c r="CJ240" s="129"/>
      <c r="CL240" s="132"/>
      <c r="CM240" s="128"/>
      <c r="CN240" s="129"/>
      <c r="CP240" s="132"/>
      <c r="CQ240" s="128"/>
      <c r="CR240" s="129"/>
      <c r="CT240" s="132"/>
      <c r="CU240" s="128"/>
      <c r="CV240" s="129"/>
      <c r="CX240" s="132"/>
      <c r="CY240" s="128"/>
      <c r="CZ240" s="129"/>
      <c r="DB240" s="132"/>
      <c r="DC240" s="128"/>
      <c r="DD240" s="129"/>
      <c r="DF240" s="132"/>
      <c r="DG240" s="85"/>
      <c r="DH240" s="85"/>
      <c r="DI240" s="84"/>
      <c r="DK240" s="84"/>
      <c r="DP240" s="84"/>
      <c r="DU240" s="84"/>
      <c r="DY240" s="84"/>
      <c r="EC240" s="84"/>
      <c r="EG240" s="84"/>
      <c r="EK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128"/>
      <c r="AA241" s="129"/>
      <c r="AC241" s="130"/>
      <c r="AD241" s="128"/>
      <c r="AE241" s="129"/>
      <c r="AG241" s="130"/>
      <c r="AH241" s="128"/>
      <c r="AI241" s="129"/>
      <c r="AK241" s="130"/>
      <c r="AL241" s="128"/>
      <c r="AM241" s="129"/>
      <c r="AO241" s="130"/>
      <c r="AP241" s="128"/>
      <c r="AQ241" s="129"/>
      <c r="AS241" s="130"/>
      <c r="AT241" s="128"/>
      <c r="AU241" s="129"/>
      <c r="AW241" s="130"/>
      <c r="AX241" s="85"/>
      <c r="AY241" s="84"/>
      <c r="AZ241" s="84"/>
      <c r="BA241" s="131"/>
      <c r="BB241" s="84"/>
      <c r="BE241" s="84"/>
      <c r="BI241" s="86"/>
      <c r="BO241" s="84"/>
      <c r="BT241" s="84"/>
      <c r="BY241" s="84"/>
      <c r="CD241" s="84"/>
      <c r="CI241" s="128"/>
      <c r="CJ241" s="129"/>
      <c r="CL241" s="132"/>
      <c r="CM241" s="128"/>
      <c r="CN241" s="129"/>
      <c r="CP241" s="132"/>
      <c r="CQ241" s="128"/>
      <c r="CR241" s="129"/>
      <c r="CT241" s="132"/>
      <c r="CU241" s="128"/>
      <c r="CV241" s="129"/>
      <c r="CX241" s="132"/>
      <c r="CY241" s="128"/>
      <c r="CZ241" s="129"/>
      <c r="DB241" s="132"/>
      <c r="DC241" s="128"/>
      <c r="DD241" s="129"/>
      <c r="DF241" s="132"/>
      <c r="DG241" s="85"/>
      <c r="DH241" s="85"/>
      <c r="DI241" s="84"/>
      <c r="DK241" s="84"/>
      <c r="DP241" s="84"/>
      <c r="DU241" s="84"/>
      <c r="DY241" s="84"/>
      <c r="EC241" s="84"/>
      <c r="EG241" s="84"/>
      <c r="EK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128"/>
      <c r="AA242" s="129"/>
      <c r="AC242" s="130"/>
      <c r="AD242" s="128"/>
      <c r="AE242" s="129"/>
      <c r="AG242" s="130"/>
      <c r="AH242" s="128"/>
      <c r="AI242" s="129"/>
      <c r="AK242" s="130"/>
      <c r="AL242" s="128"/>
      <c r="AM242" s="129"/>
      <c r="AO242" s="130"/>
      <c r="AP242" s="128"/>
      <c r="AQ242" s="129"/>
      <c r="AS242" s="130"/>
      <c r="AT242" s="128"/>
      <c r="AU242" s="129"/>
      <c r="AW242" s="130"/>
      <c r="AX242" s="85"/>
      <c r="AY242" s="84"/>
      <c r="AZ242" s="84"/>
      <c r="BA242" s="131"/>
      <c r="BB242" s="84"/>
      <c r="BE242" s="84"/>
      <c r="BI242" s="86"/>
      <c r="BO242" s="84"/>
      <c r="BT242" s="84"/>
      <c r="BY242" s="84"/>
      <c r="CD242" s="84"/>
      <c r="CI242" s="128"/>
      <c r="CJ242" s="129"/>
      <c r="CL242" s="132"/>
      <c r="CM242" s="128"/>
      <c r="CN242" s="129"/>
      <c r="CP242" s="132"/>
      <c r="CQ242" s="128"/>
      <c r="CR242" s="129"/>
      <c r="CT242" s="132"/>
      <c r="CU242" s="128"/>
      <c r="CV242" s="129"/>
      <c r="CX242" s="132"/>
      <c r="CY242" s="128"/>
      <c r="CZ242" s="129"/>
      <c r="DB242" s="132"/>
      <c r="DC242" s="128"/>
      <c r="DD242" s="129"/>
      <c r="DF242" s="132"/>
      <c r="DG242" s="85"/>
      <c r="DH242" s="85"/>
      <c r="DI242" s="84"/>
      <c r="DK242" s="84"/>
      <c r="DP242" s="84"/>
      <c r="DU242" s="84"/>
      <c r="DY242" s="84"/>
      <c r="EC242" s="84"/>
      <c r="EG242" s="84"/>
      <c r="EK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128"/>
      <c r="AA243" s="129"/>
      <c r="AC243" s="130"/>
      <c r="AD243" s="128"/>
      <c r="AE243" s="129"/>
      <c r="AG243" s="130"/>
      <c r="AH243" s="128"/>
      <c r="AI243" s="129"/>
      <c r="AK243" s="130"/>
      <c r="AL243" s="128"/>
      <c r="AM243" s="129"/>
      <c r="AO243" s="130"/>
      <c r="AP243" s="128"/>
      <c r="AQ243" s="129"/>
      <c r="AS243" s="130"/>
      <c r="AT243" s="128"/>
      <c r="AU243" s="129"/>
      <c r="AW243" s="130"/>
      <c r="AX243" s="85"/>
      <c r="AY243" s="84"/>
      <c r="AZ243" s="84"/>
      <c r="BA243" s="131"/>
      <c r="BB243" s="84"/>
      <c r="BE243" s="84"/>
      <c r="BI243" s="86"/>
      <c r="BO243" s="84"/>
      <c r="BT243" s="84"/>
      <c r="BY243" s="84"/>
      <c r="CD243" s="84"/>
      <c r="CI243" s="128"/>
      <c r="CJ243" s="129"/>
      <c r="CL243" s="132"/>
      <c r="CM243" s="128"/>
      <c r="CN243" s="129"/>
      <c r="CP243" s="132"/>
      <c r="CQ243" s="128"/>
      <c r="CR243" s="129"/>
      <c r="CT243" s="132"/>
      <c r="CU243" s="128"/>
      <c r="CV243" s="129"/>
      <c r="CX243" s="132"/>
      <c r="CY243" s="128"/>
      <c r="CZ243" s="129"/>
      <c r="DB243" s="132"/>
      <c r="DC243" s="128"/>
      <c r="DD243" s="129"/>
      <c r="DF243" s="132"/>
      <c r="DG243" s="85"/>
      <c r="DH243" s="85"/>
      <c r="DI243" s="84"/>
      <c r="DK243" s="84"/>
      <c r="DP243" s="84"/>
      <c r="DU243" s="84"/>
      <c r="DY243" s="84"/>
      <c r="EC243" s="84"/>
      <c r="EG243" s="84"/>
      <c r="EK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128"/>
      <c r="AA244" s="129"/>
      <c r="AC244" s="130"/>
      <c r="AD244" s="128"/>
      <c r="AE244" s="129"/>
      <c r="AG244" s="130"/>
      <c r="AH244" s="128"/>
      <c r="AI244" s="129"/>
      <c r="AK244" s="130"/>
      <c r="AL244" s="128"/>
      <c r="AM244" s="129"/>
      <c r="AO244" s="130"/>
      <c r="AP244" s="128"/>
      <c r="AQ244" s="129"/>
      <c r="AS244" s="130"/>
      <c r="AT244" s="128"/>
      <c r="AU244" s="129"/>
      <c r="AW244" s="130"/>
      <c r="AX244" s="85"/>
      <c r="AY244" s="84"/>
      <c r="AZ244" s="84"/>
      <c r="BA244" s="131"/>
      <c r="BB244" s="84"/>
      <c r="BE244" s="84"/>
      <c r="BI244" s="86"/>
      <c r="BO244" s="84"/>
      <c r="BT244" s="84"/>
      <c r="BY244" s="84"/>
      <c r="CD244" s="84"/>
      <c r="CI244" s="128"/>
      <c r="CJ244" s="129"/>
      <c r="CL244" s="132"/>
      <c r="CM244" s="128"/>
      <c r="CN244" s="129"/>
      <c r="CP244" s="132"/>
      <c r="CQ244" s="128"/>
      <c r="CR244" s="129"/>
      <c r="CT244" s="132"/>
      <c r="CU244" s="128"/>
      <c r="CV244" s="129"/>
      <c r="CX244" s="132"/>
      <c r="CY244" s="128"/>
      <c r="CZ244" s="129"/>
      <c r="DB244" s="132"/>
      <c r="DC244" s="128"/>
      <c r="DD244" s="129"/>
      <c r="DF244" s="132"/>
      <c r="DG244" s="85"/>
      <c r="DH244" s="85"/>
      <c r="DI244" s="84"/>
      <c r="DK244" s="84"/>
      <c r="DP244" s="84"/>
      <c r="DU244" s="84"/>
      <c r="DY244" s="84"/>
      <c r="EC244" s="84"/>
      <c r="EG244" s="84"/>
      <c r="EK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128"/>
      <c r="AA245" s="129"/>
      <c r="AC245" s="130"/>
      <c r="AD245" s="128"/>
      <c r="AE245" s="129"/>
      <c r="AG245" s="130"/>
      <c r="AH245" s="128"/>
      <c r="AI245" s="129"/>
      <c r="AK245" s="130"/>
      <c r="AL245" s="128"/>
      <c r="AM245" s="129"/>
      <c r="AO245" s="130"/>
      <c r="AP245" s="128"/>
      <c r="AQ245" s="129"/>
      <c r="AS245" s="130"/>
      <c r="AT245" s="128"/>
      <c r="AU245" s="129"/>
      <c r="AW245" s="130"/>
      <c r="AX245" s="85"/>
      <c r="AY245" s="84"/>
      <c r="AZ245" s="84"/>
      <c r="BA245" s="131"/>
      <c r="BB245" s="84"/>
      <c r="BE245" s="84"/>
      <c r="BI245" s="86"/>
      <c r="BO245" s="84"/>
      <c r="BT245" s="84"/>
      <c r="BY245" s="84"/>
      <c r="CD245" s="84"/>
      <c r="CI245" s="128"/>
      <c r="CJ245" s="129"/>
      <c r="CL245" s="132"/>
      <c r="CM245" s="128"/>
      <c r="CN245" s="129"/>
      <c r="CP245" s="132"/>
      <c r="CQ245" s="128"/>
      <c r="CR245" s="129"/>
      <c r="CT245" s="132"/>
      <c r="CU245" s="128"/>
      <c r="CV245" s="129"/>
      <c r="CX245" s="132"/>
      <c r="CY245" s="128"/>
      <c r="CZ245" s="129"/>
      <c r="DB245" s="132"/>
      <c r="DC245" s="128"/>
      <c r="DD245" s="129"/>
      <c r="DF245" s="132"/>
      <c r="DG245" s="85"/>
      <c r="DH245" s="85"/>
      <c r="DI245" s="84"/>
      <c r="DK245" s="84"/>
      <c r="DP245" s="84"/>
      <c r="DU245" s="84"/>
      <c r="DY245" s="84"/>
      <c r="EC245" s="84"/>
      <c r="EG245" s="84"/>
      <c r="EK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128"/>
      <c r="AA246" s="129"/>
      <c r="AC246" s="130"/>
      <c r="AD246" s="128"/>
      <c r="AE246" s="129"/>
      <c r="AG246" s="130"/>
      <c r="AH246" s="128"/>
      <c r="AI246" s="129"/>
      <c r="AK246" s="130"/>
      <c r="AL246" s="128"/>
      <c r="AM246" s="129"/>
      <c r="AO246" s="130"/>
      <c r="AP246" s="128"/>
      <c r="AQ246" s="129"/>
      <c r="AS246" s="130"/>
      <c r="AT246" s="128"/>
      <c r="AU246" s="129"/>
      <c r="AW246" s="130"/>
      <c r="AX246" s="85"/>
      <c r="AY246" s="84"/>
      <c r="AZ246" s="84"/>
      <c r="BA246" s="131"/>
      <c r="BB246" s="84"/>
      <c r="BE246" s="84"/>
      <c r="BI246" s="86"/>
      <c r="BO246" s="84"/>
      <c r="BT246" s="84"/>
      <c r="BY246" s="84"/>
      <c r="CD246" s="84"/>
      <c r="CI246" s="128"/>
      <c r="CJ246" s="129"/>
      <c r="CL246" s="132"/>
      <c r="CM246" s="128"/>
      <c r="CN246" s="129"/>
      <c r="CP246" s="132"/>
      <c r="CQ246" s="128"/>
      <c r="CR246" s="129"/>
      <c r="CT246" s="132"/>
      <c r="CU246" s="128"/>
      <c r="CV246" s="129"/>
      <c r="CX246" s="132"/>
      <c r="CY246" s="128"/>
      <c r="CZ246" s="129"/>
      <c r="DB246" s="132"/>
      <c r="DC246" s="128"/>
      <c r="DD246" s="129"/>
      <c r="DF246" s="132"/>
      <c r="DG246" s="85"/>
      <c r="DH246" s="85"/>
      <c r="DI246" s="84"/>
      <c r="DK246" s="84"/>
      <c r="DP246" s="84"/>
      <c r="DU246" s="84"/>
      <c r="DY246" s="84"/>
      <c r="EC246" s="84"/>
      <c r="EG246" s="84"/>
      <c r="EK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128"/>
      <c r="AA247" s="129"/>
      <c r="AC247" s="130"/>
      <c r="AD247" s="128"/>
      <c r="AE247" s="129"/>
      <c r="AG247" s="130"/>
      <c r="AH247" s="128"/>
      <c r="AI247" s="129"/>
      <c r="AK247" s="130"/>
      <c r="AL247" s="128"/>
      <c r="AM247" s="129"/>
      <c r="AO247" s="130"/>
      <c r="AP247" s="128"/>
      <c r="AQ247" s="129"/>
      <c r="AS247" s="130"/>
      <c r="AT247" s="128"/>
      <c r="AU247" s="129"/>
      <c r="AW247" s="130"/>
      <c r="AX247" s="85"/>
      <c r="AY247" s="84"/>
      <c r="AZ247" s="84"/>
      <c r="BA247" s="131"/>
      <c r="BB247" s="84"/>
      <c r="BE247" s="84"/>
      <c r="BI247" s="86"/>
      <c r="BO247" s="84"/>
      <c r="BT247" s="84"/>
      <c r="BY247" s="84"/>
      <c r="CD247" s="84"/>
      <c r="CI247" s="128"/>
      <c r="CJ247" s="129"/>
      <c r="CL247" s="132"/>
      <c r="CM247" s="128"/>
      <c r="CN247" s="129"/>
      <c r="CP247" s="132"/>
      <c r="CQ247" s="128"/>
      <c r="CR247" s="129"/>
      <c r="CT247" s="132"/>
      <c r="CU247" s="128"/>
      <c r="CV247" s="129"/>
      <c r="CX247" s="132"/>
      <c r="CY247" s="128"/>
      <c r="CZ247" s="129"/>
      <c r="DB247" s="132"/>
      <c r="DC247" s="128"/>
      <c r="DD247" s="129"/>
      <c r="DF247" s="132"/>
      <c r="DG247" s="85"/>
      <c r="DH247" s="85"/>
      <c r="DI247" s="84"/>
      <c r="DK247" s="84"/>
      <c r="DP247" s="84"/>
      <c r="DU247" s="84"/>
      <c r="DY247" s="84"/>
      <c r="EC247" s="84"/>
      <c r="EG247" s="84"/>
      <c r="EK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128"/>
      <c r="AA248" s="129"/>
      <c r="AC248" s="130"/>
      <c r="AD248" s="128"/>
      <c r="AE248" s="129"/>
      <c r="AG248" s="130"/>
      <c r="AH248" s="128"/>
      <c r="AI248" s="129"/>
      <c r="AK248" s="130"/>
      <c r="AL248" s="128"/>
      <c r="AM248" s="129"/>
      <c r="AO248" s="130"/>
      <c r="AP248" s="128"/>
      <c r="AQ248" s="129"/>
      <c r="AS248" s="130"/>
      <c r="AT248" s="128"/>
      <c r="AU248" s="129"/>
      <c r="AW248" s="130"/>
      <c r="AX248" s="85"/>
      <c r="AY248" s="84"/>
      <c r="AZ248" s="84"/>
      <c r="BA248" s="131"/>
      <c r="BB248" s="84"/>
      <c r="BE248" s="84"/>
      <c r="BI248" s="86"/>
      <c r="BO248" s="84"/>
      <c r="BT248" s="84"/>
      <c r="BY248" s="84"/>
      <c r="CD248" s="84"/>
      <c r="CI248" s="128"/>
      <c r="CJ248" s="129"/>
      <c r="CL248" s="132"/>
      <c r="CM248" s="128"/>
      <c r="CN248" s="129"/>
      <c r="CP248" s="132"/>
      <c r="CQ248" s="128"/>
      <c r="CR248" s="129"/>
      <c r="CT248" s="132"/>
      <c r="CU248" s="128"/>
      <c r="CV248" s="129"/>
      <c r="CX248" s="132"/>
      <c r="CY248" s="128"/>
      <c r="CZ248" s="129"/>
      <c r="DB248" s="132"/>
      <c r="DC248" s="128"/>
      <c r="DD248" s="129"/>
      <c r="DF248" s="132"/>
      <c r="DG248" s="85"/>
      <c r="DH248" s="85"/>
      <c r="DI248" s="84"/>
      <c r="DK248" s="84"/>
      <c r="DP248" s="84"/>
      <c r="DU248" s="84"/>
      <c r="DY248" s="84"/>
      <c r="EC248" s="84"/>
      <c r="EG248" s="84"/>
      <c r="EK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128"/>
      <c r="AA249" s="129"/>
      <c r="AC249" s="130"/>
      <c r="AD249" s="128"/>
      <c r="AE249" s="129"/>
      <c r="AG249" s="130"/>
      <c r="AH249" s="128"/>
      <c r="AI249" s="129"/>
      <c r="AK249" s="130"/>
      <c r="AL249" s="128"/>
      <c r="AM249" s="129"/>
      <c r="AO249" s="130"/>
      <c r="AP249" s="128"/>
      <c r="AQ249" s="129"/>
      <c r="AS249" s="130"/>
      <c r="AT249" s="128"/>
      <c r="AU249" s="129"/>
      <c r="AW249" s="130"/>
      <c r="AX249" s="85"/>
      <c r="AY249" s="84"/>
      <c r="AZ249" s="84"/>
      <c r="BA249" s="131"/>
      <c r="BB249" s="84"/>
      <c r="BE249" s="84"/>
      <c r="BI249" s="86"/>
      <c r="BO249" s="84"/>
      <c r="BT249" s="84"/>
      <c r="BY249" s="84"/>
      <c r="CD249" s="84"/>
      <c r="CI249" s="128"/>
      <c r="CJ249" s="129"/>
      <c r="CL249" s="132"/>
      <c r="CM249" s="128"/>
      <c r="CN249" s="129"/>
      <c r="CP249" s="132"/>
      <c r="CQ249" s="128"/>
      <c r="CR249" s="129"/>
      <c r="CT249" s="132"/>
      <c r="CU249" s="128"/>
      <c r="CV249" s="129"/>
      <c r="CX249" s="132"/>
      <c r="CY249" s="128"/>
      <c r="CZ249" s="129"/>
      <c r="DB249" s="132"/>
      <c r="DC249" s="128"/>
      <c r="DD249" s="129"/>
      <c r="DF249" s="132"/>
      <c r="DG249" s="85"/>
      <c r="DH249" s="85"/>
      <c r="DI249" s="84"/>
      <c r="DK249" s="84"/>
      <c r="DP249" s="84"/>
      <c r="DU249" s="84"/>
      <c r="DY249" s="84"/>
      <c r="EC249" s="84"/>
      <c r="EG249" s="84"/>
      <c r="EK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128"/>
      <c r="AA250" s="129"/>
      <c r="AC250" s="130"/>
      <c r="AD250" s="128"/>
      <c r="AE250" s="129"/>
      <c r="AG250" s="130"/>
      <c r="AH250" s="128"/>
      <c r="AI250" s="129"/>
      <c r="AK250" s="130"/>
      <c r="AL250" s="128"/>
      <c r="AM250" s="129"/>
      <c r="AO250" s="130"/>
      <c r="AP250" s="128"/>
      <c r="AQ250" s="129"/>
      <c r="AS250" s="130"/>
      <c r="AT250" s="128"/>
      <c r="AU250" s="129"/>
      <c r="AW250" s="130"/>
      <c r="AX250" s="85"/>
      <c r="AY250" s="84"/>
      <c r="AZ250" s="84"/>
      <c r="BA250" s="131"/>
      <c r="BB250" s="84"/>
      <c r="BE250" s="84"/>
      <c r="BI250" s="86"/>
      <c r="BO250" s="84"/>
      <c r="BT250" s="84"/>
      <c r="BY250" s="84"/>
      <c r="CD250" s="84"/>
      <c r="CI250" s="128"/>
      <c r="CJ250" s="129"/>
      <c r="CL250" s="132"/>
      <c r="CM250" s="128"/>
      <c r="CN250" s="129"/>
      <c r="CP250" s="132"/>
      <c r="CQ250" s="128"/>
      <c r="CR250" s="129"/>
      <c r="CT250" s="132"/>
      <c r="CU250" s="128"/>
      <c r="CV250" s="129"/>
      <c r="CX250" s="132"/>
      <c r="CY250" s="128"/>
      <c r="CZ250" s="129"/>
      <c r="DB250" s="132"/>
      <c r="DC250" s="128"/>
      <c r="DD250" s="129"/>
      <c r="DF250" s="132"/>
      <c r="DG250" s="85"/>
      <c r="DH250" s="85"/>
      <c r="DI250" s="84"/>
      <c r="DK250" s="84"/>
      <c r="DP250" s="84"/>
      <c r="DU250" s="84"/>
      <c r="DY250" s="84"/>
      <c r="EC250" s="84"/>
      <c r="EG250" s="84"/>
      <c r="EK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128"/>
      <c r="AA251" s="129"/>
      <c r="AC251" s="130"/>
      <c r="AD251" s="128"/>
      <c r="AE251" s="129"/>
      <c r="AG251" s="130"/>
      <c r="AH251" s="128"/>
      <c r="AI251" s="129"/>
      <c r="AK251" s="130"/>
      <c r="AL251" s="128"/>
      <c r="AM251" s="129"/>
      <c r="AO251" s="130"/>
      <c r="AP251" s="128"/>
      <c r="AQ251" s="129"/>
      <c r="AS251" s="130"/>
      <c r="AT251" s="128"/>
      <c r="AU251" s="129"/>
      <c r="AW251" s="130"/>
      <c r="AX251" s="85"/>
      <c r="AY251" s="84"/>
      <c r="AZ251" s="84"/>
      <c r="BA251" s="131"/>
      <c r="BB251" s="84"/>
      <c r="BE251" s="84"/>
      <c r="BI251" s="86"/>
      <c r="BO251" s="84"/>
      <c r="BT251" s="84"/>
      <c r="BY251" s="84"/>
      <c r="CD251" s="84"/>
      <c r="CI251" s="128"/>
      <c r="CJ251" s="129"/>
      <c r="CL251" s="132"/>
      <c r="CM251" s="128"/>
      <c r="CN251" s="129"/>
      <c r="CP251" s="132"/>
      <c r="CQ251" s="128"/>
      <c r="CR251" s="129"/>
      <c r="CT251" s="132"/>
      <c r="CU251" s="128"/>
      <c r="CV251" s="129"/>
      <c r="CX251" s="132"/>
      <c r="CY251" s="128"/>
      <c r="CZ251" s="129"/>
      <c r="DB251" s="132"/>
      <c r="DC251" s="128"/>
      <c r="DD251" s="129"/>
      <c r="DF251" s="132"/>
      <c r="DG251" s="85"/>
      <c r="DH251" s="85"/>
      <c r="DI251" s="84"/>
      <c r="DK251" s="84"/>
      <c r="DP251" s="84"/>
      <c r="DU251" s="84"/>
      <c r="DY251" s="84"/>
      <c r="EC251" s="84"/>
      <c r="EG251" s="84"/>
      <c r="EK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128"/>
      <c r="AA252" s="129"/>
      <c r="AC252" s="130"/>
      <c r="AD252" s="128"/>
      <c r="AE252" s="129"/>
      <c r="AG252" s="130"/>
      <c r="AH252" s="128"/>
      <c r="AI252" s="129"/>
      <c r="AK252" s="130"/>
      <c r="AL252" s="128"/>
      <c r="AM252" s="129"/>
      <c r="AO252" s="130"/>
      <c r="AP252" s="128"/>
      <c r="AQ252" s="129"/>
      <c r="AS252" s="130"/>
      <c r="AT252" s="128"/>
      <c r="AU252" s="129"/>
      <c r="AW252" s="130"/>
      <c r="AX252" s="85"/>
      <c r="AY252" s="84"/>
      <c r="AZ252" s="84"/>
      <c r="BA252" s="131"/>
      <c r="BB252" s="84"/>
      <c r="BE252" s="84"/>
      <c r="BI252" s="86"/>
      <c r="BO252" s="84"/>
      <c r="BT252" s="84"/>
      <c r="BY252" s="84"/>
      <c r="CD252" s="84"/>
      <c r="CI252" s="128"/>
      <c r="CJ252" s="129"/>
      <c r="CL252" s="132"/>
      <c r="CM252" s="128"/>
      <c r="CN252" s="129"/>
      <c r="CP252" s="132"/>
      <c r="CQ252" s="128"/>
      <c r="CR252" s="129"/>
      <c r="CT252" s="132"/>
      <c r="CU252" s="128"/>
      <c r="CV252" s="129"/>
      <c r="CX252" s="132"/>
      <c r="CY252" s="128"/>
      <c r="CZ252" s="129"/>
      <c r="DB252" s="132"/>
      <c r="DC252" s="128"/>
      <c r="DD252" s="129"/>
      <c r="DF252" s="132"/>
      <c r="DG252" s="85"/>
      <c r="DH252" s="85"/>
      <c r="DI252" s="84"/>
      <c r="DK252" s="84"/>
      <c r="DP252" s="84"/>
      <c r="DU252" s="84"/>
      <c r="DY252" s="84"/>
      <c r="EC252" s="84"/>
      <c r="EG252" s="84"/>
      <c r="EK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128"/>
      <c r="AA253" s="129"/>
      <c r="AC253" s="130"/>
      <c r="AD253" s="128"/>
      <c r="AE253" s="129"/>
      <c r="AG253" s="130"/>
      <c r="AH253" s="128"/>
      <c r="AI253" s="129"/>
      <c r="AK253" s="130"/>
      <c r="AL253" s="128"/>
      <c r="AM253" s="129"/>
      <c r="AO253" s="130"/>
      <c r="AP253" s="128"/>
      <c r="AQ253" s="129"/>
      <c r="AS253" s="130"/>
      <c r="AT253" s="128"/>
      <c r="AU253" s="129"/>
      <c r="AW253" s="130"/>
      <c r="AX253" s="85"/>
      <c r="AY253" s="84"/>
      <c r="AZ253" s="84"/>
      <c r="BA253" s="131"/>
      <c r="BB253" s="84"/>
      <c r="BE253" s="84"/>
      <c r="BI253" s="86"/>
      <c r="BO253" s="84"/>
      <c r="BT253" s="84"/>
      <c r="BY253" s="84"/>
      <c r="CD253" s="84"/>
      <c r="CI253" s="128"/>
      <c r="CJ253" s="129"/>
      <c r="CL253" s="132"/>
      <c r="CM253" s="128"/>
      <c r="CN253" s="129"/>
      <c r="CP253" s="132"/>
      <c r="CQ253" s="128"/>
      <c r="CR253" s="129"/>
      <c r="CT253" s="132"/>
      <c r="CU253" s="128"/>
      <c r="CV253" s="129"/>
      <c r="CX253" s="132"/>
      <c r="CY253" s="128"/>
      <c r="CZ253" s="129"/>
      <c r="DB253" s="132"/>
      <c r="DC253" s="128"/>
      <c r="DD253" s="129"/>
      <c r="DF253" s="132"/>
      <c r="DG253" s="85"/>
      <c r="DH253" s="85"/>
      <c r="DI253" s="84"/>
      <c r="DK253" s="84"/>
      <c r="DP253" s="84"/>
      <c r="DU253" s="84"/>
      <c r="DY253" s="84"/>
      <c r="EC253" s="84"/>
      <c r="EG253" s="84"/>
      <c r="EK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128"/>
      <c r="AA254" s="129"/>
      <c r="AC254" s="130"/>
      <c r="AD254" s="128"/>
      <c r="AE254" s="129"/>
      <c r="AG254" s="130"/>
      <c r="AH254" s="128"/>
      <c r="AI254" s="129"/>
      <c r="AK254" s="130"/>
      <c r="AL254" s="128"/>
      <c r="AM254" s="129"/>
      <c r="AO254" s="130"/>
      <c r="AP254" s="128"/>
      <c r="AQ254" s="129"/>
      <c r="AS254" s="130"/>
      <c r="AT254" s="128"/>
      <c r="AU254" s="129"/>
      <c r="AW254" s="130"/>
      <c r="AX254" s="85"/>
      <c r="AY254" s="84"/>
      <c r="AZ254" s="84"/>
      <c r="BA254" s="131"/>
      <c r="BB254" s="84"/>
      <c r="BE254" s="84"/>
      <c r="BI254" s="86"/>
      <c r="BO254" s="84"/>
      <c r="BT254" s="84"/>
      <c r="BY254" s="84"/>
      <c r="CD254" s="84"/>
      <c r="CI254" s="128"/>
      <c r="CJ254" s="129"/>
      <c r="CL254" s="132"/>
      <c r="CM254" s="128"/>
      <c r="CN254" s="129"/>
      <c r="CP254" s="132"/>
      <c r="CQ254" s="128"/>
      <c r="CR254" s="129"/>
      <c r="CT254" s="132"/>
      <c r="CU254" s="128"/>
      <c r="CV254" s="129"/>
      <c r="CX254" s="132"/>
      <c r="CY254" s="128"/>
      <c r="CZ254" s="129"/>
      <c r="DB254" s="132"/>
      <c r="DC254" s="128"/>
      <c r="DD254" s="129"/>
      <c r="DF254" s="132"/>
      <c r="DG254" s="85"/>
      <c r="DH254" s="85"/>
      <c r="DI254" s="84"/>
      <c r="DK254" s="84"/>
      <c r="DP254" s="84"/>
      <c r="DU254" s="84"/>
      <c r="DY254" s="84"/>
      <c r="EC254" s="84"/>
      <c r="EG254" s="84"/>
      <c r="EK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128"/>
      <c r="AA255" s="129"/>
      <c r="AC255" s="130"/>
      <c r="AD255" s="128"/>
      <c r="AE255" s="129"/>
      <c r="AG255" s="130"/>
      <c r="AH255" s="128"/>
      <c r="AI255" s="129"/>
      <c r="AK255" s="130"/>
      <c r="AL255" s="128"/>
      <c r="AM255" s="129"/>
      <c r="AO255" s="130"/>
      <c r="AP255" s="128"/>
      <c r="AQ255" s="129"/>
      <c r="AS255" s="130"/>
      <c r="AT255" s="128"/>
      <c r="AU255" s="129"/>
      <c r="AW255" s="130"/>
      <c r="AX255" s="85"/>
      <c r="AY255" s="84"/>
      <c r="AZ255" s="84"/>
      <c r="BA255" s="131"/>
      <c r="BB255" s="84"/>
      <c r="BE255" s="84"/>
      <c r="BI255" s="86"/>
      <c r="BO255" s="84"/>
      <c r="BT255" s="84"/>
      <c r="BY255" s="84"/>
      <c r="CD255" s="84"/>
      <c r="CI255" s="128"/>
      <c r="CJ255" s="129"/>
      <c r="CL255" s="132"/>
      <c r="CM255" s="128"/>
      <c r="CN255" s="129"/>
      <c r="CP255" s="132"/>
      <c r="CQ255" s="128"/>
      <c r="CR255" s="129"/>
      <c r="CT255" s="132"/>
      <c r="CU255" s="128"/>
      <c r="CV255" s="129"/>
      <c r="CX255" s="132"/>
      <c r="CY255" s="128"/>
      <c r="CZ255" s="129"/>
      <c r="DB255" s="132"/>
      <c r="DC255" s="128"/>
      <c r="DD255" s="129"/>
      <c r="DF255" s="132"/>
      <c r="DG255" s="85"/>
      <c r="DH255" s="85"/>
      <c r="DI255" s="84"/>
      <c r="DK255" s="84"/>
      <c r="DP255" s="84"/>
      <c r="DU255" s="84"/>
      <c r="DY255" s="84"/>
      <c r="EC255" s="84"/>
      <c r="EG255" s="84"/>
      <c r="EK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128"/>
      <c r="AA256" s="129"/>
      <c r="AC256" s="130"/>
      <c r="AD256" s="128"/>
      <c r="AE256" s="129"/>
      <c r="AG256" s="130"/>
      <c r="AH256" s="128"/>
      <c r="AI256" s="129"/>
      <c r="AK256" s="130"/>
      <c r="AL256" s="128"/>
      <c r="AM256" s="129"/>
      <c r="AO256" s="130"/>
      <c r="AP256" s="128"/>
      <c r="AQ256" s="129"/>
      <c r="AS256" s="130"/>
      <c r="AT256" s="128"/>
      <c r="AU256" s="129"/>
      <c r="AW256" s="130"/>
      <c r="AX256" s="85"/>
      <c r="AY256" s="84"/>
      <c r="AZ256" s="84"/>
      <c r="BA256" s="131"/>
      <c r="BB256" s="84"/>
      <c r="BE256" s="84"/>
      <c r="BI256" s="86"/>
      <c r="BO256" s="84"/>
      <c r="BT256" s="84"/>
      <c r="BY256" s="84"/>
      <c r="CD256" s="84"/>
      <c r="CI256" s="128"/>
      <c r="CJ256" s="129"/>
      <c r="CL256" s="132"/>
      <c r="CM256" s="128"/>
      <c r="CN256" s="129"/>
      <c r="CP256" s="132"/>
      <c r="CQ256" s="128"/>
      <c r="CR256" s="129"/>
      <c r="CT256" s="132"/>
      <c r="CU256" s="128"/>
      <c r="CV256" s="129"/>
      <c r="CX256" s="132"/>
      <c r="CY256" s="128"/>
      <c r="CZ256" s="129"/>
      <c r="DB256" s="132"/>
      <c r="DC256" s="128"/>
      <c r="DD256" s="129"/>
      <c r="DF256" s="132"/>
      <c r="DG256" s="85"/>
      <c r="DH256" s="85"/>
      <c r="DI256" s="84"/>
      <c r="DK256" s="84"/>
      <c r="DP256" s="84"/>
      <c r="DU256" s="84"/>
      <c r="DY256" s="84"/>
      <c r="EC256" s="84"/>
      <c r="EG256" s="84"/>
      <c r="EK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128"/>
      <c r="AA257" s="129"/>
      <c r="AC257" s="130"/>
      <c r="AD257" s="128"/>
      <c r="AE257" s="129"/>
      <c r="AG257" s="130"/>
      <c r="AH257" s="128"/>
      <c r="AI257" s="129"/>
      <c r="AK257" s="130"/>
      <c r="AL257" s="128"/>
      <c r="AM257" s="129"/>
      <c r="AO257" s="130"/>
      <c r="AP257" s="128"/>
      <c r="AQ257" s="129"/>
      <c r="AS257" s="130"/>
      <c r="AT257" s="128"/>
      <c r="AU257" s="129"/>
      <c r="AW257" s="130"/>
      <c r="AX257" s="85"/>
      <c r="AY257" s="84"/>
      <c r="AZ257" s="84"/>
      <c r="BA257" s="131"/>
      <c r="BB257" s="84"/>
      <c r="BE257" s="84"/>
      <c r="BI257" s="86"/>
      <c r="BO257" s="84"/>
      <c r="BT257" s="84"/>
      <c r="BY257" s="84"/>
      <c r="CD257" s="84"/>
      <c r="CI257" s="128"/>
      <c r="CJ257" s="129"/>
      <c r="CL257" s="132"/>
      <c r="CM257" s="128"/>
      <c r="CN257" s="129"/>
      <c r="CP257" s="132"/>
      <c r="CQ257" s="128"/>
      <c r="CR257" s="129"/>
      <c r="CT257" s="132"/>
      <c r="CU257" s="128"/>
      <c r="CV257" s="129"/>
      <c r="CX257" s="132"/>
      <c r="CY257" s="128"/>
      <c r="CZ257" s="129"/>
      <c r="DB257" s="132"/>
      <c r="DC257" s="128"/>
      <c r="DD257" s="129"/>
      <c r="DF257" s="132"/>
      <c r="DG257" s="85"/>
      <c r="DH257" s="85"/>
      <c r="DI257" s="84"/>
      <c r="DK257" s="84"/>
      <c r="DP257" s="84"/>
      <c r="DU257" s="84"/>
      <c r="DY257" s="84"/>
      <c r="EC257" s="84"/>
      <c r="EG257" s="84"/>
      <c r="EK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128"/>
      <c r="AA258" s="129"/>
      <c r="AC258" s="130"/>
      <c r="AD258" s="128"/>
      <c r="AE258" s="129"/>
      <c r="AG258" s="130"/>
      <c r="AH258" s="128"/>
      <c r="AI258" s="129"/>
      <c r="AK258" s="130"/>
      <c r="AL258" s="128"/>
      <c r="AM258" s="129"/>
      <c r="AO258" s="130"/>
      <c r="AP258" s="128"/>
      <c r="AQ258" s="129"/>
      <c r="AS258" s="130"/>
      <c r="AT258" s="128"/>
      <c r="AU258" s="129"/>
      <c r="AW258" s="130"/>
      <c r="AX258" s="85"/>
      <c r="AY258" s="84"/>
      <c r="AZ258" s="84"/>
      <c r="BA258" s="131"/>
      <c r="BB258" s="84"/>
      <c r="BE258" s="84"/>
      <c r="BI258" s="86"/>
      <c r="BO258" s="84"/>
      <c r="BT258" s="84"/>
      <c r="BY258" s="84"/>
      <c r="CD258" s="84"/>
      <c r="CI258" s="128"/>
      <c r="CJ258" s="129"/>
      <c r="CL258" s="132"/>
      <c r="CM258" s="128"/>
      <c r="CN258" s="129"/>
      <c r="CP258" s="132"/>
      <c r="CQ258" s="128"/>
      <c r="CR258" s="129"/>
      <c r="CT258" s="132"/>
      <c r="CU258" s="128"/>
      <c r="CV258" s="129"/>
      <c r="CX258" s="132"/>
      <c r="CY258" s="128"/>
      <c r="CZ258" s="129"/>
      <c r="DB258" s="132"/>
      <c r="DC258" s="128"/>
      <c r="DD258" s="129"/>
      <c r="DF258" s="132"/>
      <c r="DG258" s="85"/>
      <c r="DH258" s="85"/>
      <c r="DI258" s="84"/>
      <c r="DK258" s="84"/>
      <c r="DP258" s="84"/>
      <c r="DU258" s="84"/>
      <c r="DY258" s="84"/>
      <c r="EC258" s="84"/>
      <c r="EG258" s="84"/>
      <c r="EK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128"/>
      <c r="AA259" s="129"/>
      <c r="AC259" s="130"/>
      <c r="AD259" s="128"/>
      <c r="AE259" s="129"/>
      <c r="AG259" s="130"/>
      <c r="AH259" s="128"/>
      <c r="AI259" s="129"/>
      <c r="AK259" s="130"/>
      <c r="AL259" s="128"/>
      <c r="AM259" s="129"/>
      <c r="AO259" s="130"/>
      <c r="AP259" s="128"/>
      <c r="AQ259" s="129"/>
      <c r="AS259" s="130"/>
      <c r="AT259" s="128"/>
      <c r="AU259" s="129"/>
      <c r="AW259" s="130"/>
      <c r="AX259" s="85"/>
      <c r="AY259" s="84"/>
      <c r="AZ259" s="84"/>
      <c r="BA259" s="131"/>
      <c r="BB259" s="84"/>
      <c r="BE259" s="84"/>
      <c r="BI259" s="86"/>
      <c r="BO259" s="84"/>
      <c r="BT259" s="84"/>
      <c r="BY259" s="84"/>
      <c r="CD259" s="84"/>
      <c r="CI259" s="128"/>
      <c r="CJ259" s="129"/>
      <c r="CL259" s="132"/>
      <c r="CM259" s="128"/>
      <c r="CN259" s="129"/>
      <c r="CP259" s="132"/>
      <c r="CQ259" s="128"/>
      <c r="CR259" s="129"/>
      <c r="CT259" s="132"/>
      <c r="CU259" s="128"/>
      <c r="CV259" s="129"/>
      <c r="CX259" s="132"/>
      <c r="CY259" s="128"/>
      <c r="CZ259" s="129"/>
      <c r="DB259" s="132"/>
      <c r="DC259" s="128"/>
      <c r="DD259" s="129"/>
      <c r="DF259" s="132"/>
      <c r="DG259" s="85"/>
      <c r="DH259" s="85"/>
      <c r="DI259" s="84"/>
      <c r="DK259" s="84"/>
      <c r="DP259" s="84"/>
      <c r="DU259" s="84"/>
      <c r="DY259" s="84"/>
      <c r="EC259" s="84"/>
      <c r="EG259" s="84"/>
      <c r="EK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128"/>
      <c r="AA260" s="129"/>
      <c r="AC260" s="130"/>
      <c r="AD260" s="128"/>
      <c r="AE260" s="129"/>
      <c r="AG260" s="130"/>
      <c r="AH260" s="128"/>
      <c r="AI260" s="129"/>
      <c r="AK260" s="130"/>
      <c r="AL260" s="128"/>
      <c r="AM260" s="129"/>
      <c r="AO260" s="130"/>
      <c r="AP260" s="128"/>
      <c r="AQ260" s="129"/>
      <c r="AS260" s="130"/>
      <c r="AT260" s="128"/>
      <c r="AU260" s="129"/>
      <c r="AW260" s="130"/>
      <c r="AX260" s="85"/>
      <c r="AY260" s="84"/>
      <c r="AZ260" s="84"/>
      <c r="BA260" s="131"/>
      <c r="BB260" s="84"/>
      <c r="BE260" s="84"/>
      <c r="BI260" s="86"/>
      <c r="BO260" s="84"/>
      <c r="BT260" s="84"/>
      <c r="BY260" s="84"/>
      <c r="CD260" s="84"/>
      <c r="CI260" s="128"/>
      <c r="CJ260" s="129"/>
      <c r="CL260" s="132"/>
      <c r="CM260" s="128"/>
      <c r="CN260" s="129"/>
      <c r="CP260" s="132"/>
      <c r="CQ260" s="128"/>
      <c r="CR260" s="129"/>
      <c r="CT260" s="132"/>
      <c r="CU260" s="128"/>
      <c r="CV260" s="129"/>
      <c r="CX260" s="132"/>
      <c r="CY260" s="128"/>
      <c r="CZ260" s="129"/>
      <c r="DB260" s="132"/>
      <c r="DC260" s="128"/>
      <c r="DD260" s="129"/>
      <c r="DF260" s="132"/>
      <c r="DG260" s="85"/>
      <c r="DH260" s="85"/>
      <c r="DI260" s="84"/>
      <c r="DK260" s="84"/>
      <c r="DP260" s="84"/>
      <c r="DU260" s="84"/>
      <c r="DY260" s="84"/>
      <c r="EC260" s="84"/>
      <c r="EG260" s="84"/>
      <c r="EK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128"/>
      <c r="AA261" s="129"/>
      <c r="AC261" s="130"/>
      <c r="AD261" s="128"/>
      <c r="AE261" s="129"/>
      <c r="AG261" s="130"/>
      <c r="AH261" s="128"/>
      <c r="AI261" s="129"/>
      <c r="AK261" s="130"/>
      <c r="AL261" s="128"/>
      <c r="AM261" s="129"/>
      <c r="AO261" s="130"/>
      <c r="AP261" s="128"/>
      <c r="AQ261" s="129"/>
      <c r="AS261" s="130"/>
      <c r="AT261" s="128"/>
      <c r="AU261" s="129"/>
      <c r="AW261" s="130"/>
      <c r="AX261" s="85"/>
      <c r="AY261" s="84"/>
      <c r="AZ261" s="84"/>
      <c r="BA261" s="131"/>
      <c r="BB261" s="84"/>
      <c r="BE261" s="84"/>
      <c r="BI261" s="86"/>
      <c r="BO261" s="84"/>
      <c r="BT261" s="84"/>
      <c r="BY261" s="84"/>
      <c r="CD261" s="84"/>
      <c r="CI261" s="128"/>
      <c r="CJ261" s="129"/>
      <c r="CL261" s="132"/>
      <c r="CM261" s="128"/>
      <c r="CN261" s="129"/>
      <c r="CP261" s="132"/>
      <c r="CQ261" s="128"/>
      <c r="CR261" s="129"/>
      <c r="CT261" s="132"/>
      <c r="CU261" s="128"/>
      <c r="CV261" s="129"/>
      <c r="CX261" s="132"/>
      <c r="CY261" s="128"/>
      <c r="CZ261" s="129"/>
      <c r="DB261" s="132"/>
      <c r="DC261" s="128"/>
      <c r="DD261" s="129"/>
      <c r="DF261" s="132"/>
      <c r="DG261" s="85"/>
      <c r="DH261" s="85"/>
      <c r="DI261" s="84"/>
      <c r="DK261" s="84"/>
      <c r="DP261" s="84"/>
      <c r="DU261" s="84"/>
      <c r="DY261" s="84"/>
      <c r="EC261" s="84"/>
      <c r="EG261" s="84"/>
      <c r="EK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128"/>
      <c r="AA262" s="129"/>
      <c r="AC262" s="130"/>
      <c r="AD262" s="128"/>
      <c r="AE262" s="129"/>
      <c r="AG262" s="130"/>
      <c r="AH262" s="128"/>
      <c r="AI262" s="129"/>
      <c r="AK262" s="130"/>
      <c r="AL262" s="128"/>
      <c r="AM262" s="129"/>
      <c r="AO262" s="130"/>
      <c r="AP262" s="128"/>
      <c r="AQ262" s="129"/>
      <c r="AS262" s="130"/>
      <c r="AT262" s="128"/>
      <c r="AU262" s="129"/>
      <c r="AW262" s="130"/>
      <c r="AX262" s="85"/>
      <c r="AY262" s="84"/>
      <c r="AZ262" s="84"/>
      <c r="BA262" s="131"/>
      <c r="BB262" s="84"/>
      <c r="BE262" s="84"/>
      <c r="BI262" s="86"/>
      <c r="BO262" s="84"/>
      <c r="BT262" s="84"/>
      <c r="BY262" s="84"/>
      <c r="CD262" s="84"/>
      <c r="CI262" s="128"/>
      <c r="CJ262" s="129"/>
      <c r="CL262" s="132"/>
      <c r="CM262" s="128"/>
      <c r="CN262" s="129"/>
      <c r="CP262" s="132"/>
      <c r="CQ262" s="128"/>
      <c r="CR262" s="129"/>
      <c r="CT262" s="132"/>
      <c r="CU262" s="128"/>
      <c r="CV262" s="129"/>
      <c r="CX262" s="132"/>
      <c r="CY262" s="128"/>
      <c r="CZ262" s="129"/>
      <c r="DB262" s="132"/>
      <c r="DC262" s="128"/>
      <c r="DD262" s="129"/>
      <c r="DF262" s="132"/>
      <c r="DG262" s="85"/>
      <c r="DH262" s="85"/>
      <c r="DI262" s="84"/>
      <c r="DK262" s="84"/>
      <c r="DP262" s="84"/>
      <c r="DU262" s="84"/>
      <c r="DY262" s="84"/>
      <c r="EC262" s="84"/>
      <c r="EG262" s="84"/>
      <c r="EK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128"/>
      <c r="AA263" s="129"/>
      <c r="AC263" s="130"/>
      <c r="AD263" s="128"/>
      <c r="AE263" s="129"/>
      <c r="AG263" s="130"/>
      <c r="AH263" s="128"/>
      <c r="AI263" s="129"/>
      <c r="AK263" s="130"/>
      <c r="AL263" s="128"/>
      <c r="AM263" s="129"/>
      <c r="AO263" s="130"/>
      <c r="AP263" s="128"/>
      <c r="AQ263" s="129"/>
      <c r="AS263" s="130"/>
      <c r="AT263" s="128"/>
      <c r="AU263" s="129"/>
      <c r="AW263" s="130"/>
      <c r="AX263" s="85"/>
      <c r="AY263" s="84"/>
      <c r="AZ263" s="84"/>
      <c r="BA263" s="131"/>
      <c r="BB263" s="84"/>
      <c r="BE263" s="84"/>
      <c r="BI263" s="86"/>
      <c r="BO263" s="84"/>
      <c r="BT263" s="84"/>
      <c r="BY263" s="84"/>
      <c r="CD263" s="84"/>
      <c r="CI263" s="128"/>
      <c r="CJ263" s="129"/>
      <c r="CL263" s="132"/>
      <c r="CM263" s="128"/>
      <c r="CN263" s="129"/>
      <c r="CP263" s="132"/>
      <c r="CQ263" s="128"/>
      <c r="CR263" s="129"/>
      <c r="CT263" s="132"/>
      <c r="CU263" s="128"/>
      <c r="CV263" s="129"/>
      <c r="CX263" s="132"/>
      <c r="CY263" s="128"/>
      <c r="CZ263" s="129"/>
      <c r="DB263" s="132"/>
      <c r="DC263" s="128"/>
      <c r="DD263" s="129"/>
      <c r="DF263" s="132"/>
      <c r="DG263" s="85"/>
      <c r="DH263" s="85"/>
      <c r="DI263" s="84"/>
      <c r="DK263" s="84"/>
      <c r="DP263" s="84"/>
      <c r="DU263" s="84"/>
      <c r="DY263" s="84"/>
      <c r="EC263" s="84"/>
      <c r="EG263" s="84"/>
      <c r="EK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128"/>
      <c r="AA264" s="129"/>
      <c r="AC264" s="130"/>
      <c r="AD264" s="128"/>
      <c r="AE264" s="129"/>
      <c r="AG264" s="130"/>
      <c r="AH264" s="128"/>
      <c r="AI264" s="129"/>
      <c r="AK264" s="130"/>
      <c r="AL264" s="128"/>
      <c r="AM264" s="129"/>
      <c r="AO264" s="130"/>
      <c r="AP264" s="128"/>
      <c r="AQ264" s="129"/>
      <c r="AS264" s="130"/>
      <c r="AT264" s="128"/>
      <c r="AU264" s="129"/>
      <c r="AW264" s="130"/>
      <c r="AX264" s="85"/>
      <c r="AY264" s="84"/>
      <c r="AZ264" s="84"/>
      <c r="BA264" s="131"/>
      <c r="BB264" s="84"/>
      <c r="BE264" s="84"/>
      <c r="BI264" s="86"/>
      <c r="BO264" s="84"/>
      <c r="BT264" s="84"/>
      <c r="BY264" s="84"/>
      <c r="CD264" s="84"/>
      <c r="CI264" s="128"/>
      <c r="CJ264" s="129"/>
      <c r="CL264" s="132"/>
      <c r="CM264" s="128"/>
      <c r="CN264" s="129"/>
      <c r="CP264" s="132"/>
      <c r="CQ264" s="128"/>
      <c r="CR264" s="129"/>
      <c r="CT264" s="132"/>
      <c r="CU264" s="128"/>
      <c r="CV264" s="129"/>
      <c r="CX264" s="132"/>
      <c r="CY264" s="128"/>
      <c r="CZ264" s="129"/>
      <c r="DB264" s="132"/>
      <c r="DC264" s="128"/>
      <c r="DD264" s="129"/>
      <c r="DF264" s="132"/>
      <c r="DG264" s="85"/>
      <c r="DH264" s="85"/>
      <c r="DI264" s="84"/>
      <c r="DK264" s="84"/>
      <c r="DP264" s="84"/>
      <c r="DU264" s="84"/>
      <c r="DY264" s="84"/>
      <c r="EC264" s="84"/>
      <c r="EG264" s="84"/>
      <c r="EK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128"/>
      <c r="AA265" s="129"/>
      <c r="AC265" s="130"/>
      <c r="AD265" s="128"/>
      <c r="AE265" s="129"/>
      <c r="AG265" s="130"/>
      <c r="AH265" s="128"/>
      <c r="AI265" s="129"/>
      <c r="AK265" s="130"/>
      <c r="AL265" s="128"/>
      <c r="AM265" s="129"/>
      <c r="AO265" s="130"/>
      <c r="AP265" s="128"/>
      <c r="AQ265" s="129"/>
      <c r="AS265" s="130"/>
      <c r="AT265" s="128"/>
      <c r="AU265" s="129"/>
      <c r="AW265" s="130"/>
      <c r="AX265" s="85"/>
      <c r="AY265" s="84"/>
      <c r="AZ265" s="84"/>
      <c r="BA265" s="131"/>
      <c r="BB265" s="84"/>
      <c r="BE265" s="84"/>
      <c r="BI265" s="86"/>
      <c r="BO265" s="84"/>
      <c r="BT265" s="84"/>
      <c r="BY265" s="84"/>
      <c r="CD265" s="84"/>
      <c r="CI265" s="128"/>
      <c r="CJ265" s="129"/>
      <c r="CL265" s="132"/>
      <c r="CM265" s="128"/>
      <c r="CN265" s="129"/>
      <c r="CP265" s="132"/>
      <c r="CQ265" s="128"/>
      <c r="CR265" s="129"/>
      <c r="CT265" s="132"/>
      <c r="CU265" s="128"/>
      <c r="CV265" s="129"/>
      <c r="CX265" s="132"/>
      <c r="CY265" s="128"/>
      <c r="CZ265" s="129"/>
      <c r="DB265" s="132"/>
      <c r="DC265" s="128"/>
      <c r="DD265" s="129"/>
      <c r="DF265" s="132"/>
      <c r="DG265" s="85"/>
      <c r="DH265" s="85"/>
      <c r="DI265" s="84"/>
      <c r="DK265" s="84"/>
      <c r="DP265" s="84"/>
      <c r="DU265" s="84"/>
      <c r="DY265" s="84"/>
      <c r="EC265" s="84"/>
      <c r="EG265" s="84"/>
      <c r="EK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128"/>
      <c r="AA266" s="129"/>
      <c r="AC266" s="130"/>
      <c r="AD266" s="128"/>
      <c r="AE266" s="129"/>
      <c r="AG266" s="130"/>
      <c r="AH266" s="128"/>
      <c r="AI266" s="129"/>
      <c r="AK266" s="130"/>
      <c r="AL266" s="128"/>
      <c r="AM266" s="129"/>
      <c r="AO266" s="130"/>
      <c r="AP266" s="128"/>
      <c r="AQ266" s="129"/>
      <c r="AS266" s="130"/>
      <c r="AT266" s="128"/>
      <c r="AU266" s="129"/>
      <c r="AW266" s="130"/>
      <c r="AX266" s="85"/>
      <c r="AY266" s="84"/>
      <c r="AZ266" s="84"/>
      <c r="BA266" s="131"/>
      <c r="BB266" s="84"/>
      <c r="BE266" s="84"/>
      <c r="BI266" s="86"/>
      <c r="BO266" s="84"/>
      <c r="BT266" s="84"/>
      <c r="BY266" s="84"/>
      <c r="CD266" s="84"/>
      <c r="CI266" s="128"/>
      <c r="CJ266" s="129"/>
      <c r="CL266" s="132"/>
      <c r="CM266" s="128"/>
      <c r="CN266" s="129"/>
      <c r="CP266" s="132"/>
      <c r="CQ266" s="128"/>
      <c r="CR266" s="129"/>
      <c r="CT266" s="132"/>
      <c r="CU266" s="128"/>
      <c r="CV266" s="129"/>
      <c r="CX266" s="132"/>
      <c r="CY266" s="128"/>
      <c r="CZ266" s="129"/>
      <c r="DB266" s="132"/>
      <c r="DC266" s="128"/>
      <c r="DD266" s="129"/>
      <c r="DF266" s="132"/>
      <c r="DG266" s="85"/>
      <c r="DH266" s="85"/>
      <c r="DI266" s="84"/>
      <c r="DK266" s="84"/>
      <c r="DP266" s="84"/>
      <c r="DU266" s="84"/>
      <c r="DY266" s="84"/>
      <c r="EC266" s="84"/>
      <c r="EG266" s="84"/>
      <c r="EK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128"/>
      <c r="AA267" s="129"/>
      <c r="AC267" s="130"/>
      <c r="AD267" s="128"/>
      <c r="AE267" s="129"/>
      <c r="AG267" s="130"/>
      <c r="AH267" s="128"/>
      <c r="AI267" s="129"/>
      <c r="AK267" s="130"/>
      <c r="AL267" s="128"/>
      <c r="AM267" s="129"/>
      <c r="AO267" s="130"/>
      <c r="AP267" s="128"/>
      <c r="AQ267" s="129"/>
      <c r="AS267" s="130"/>
      <c r="AT267" s="128"/>
      <c r="AU267" s="129"/>
      <c r="AW267" s="130"/>
      <c r="AX267" s="85"/>
      <c r="AY267" s="84"/>
      <c r="AZ267" s="84"/>
      <c r="BA267" s="131"/>
      <c r="BB267" s="84"/>
      <c r="BE267" s="84"/>
      <c r="BI267" s="86"/>
      <c r="BO267" s="84"/>
      <c r="BT267" s="84"/>
      <c r="BY267" s="84"/>
      <c r="CD267" s="84"/>
      <c r="CI267" s="128"/>
      <c r="CJ267" s="129"/>
      <c r="CL267" s="132"/>
      <c r="CM267" s="128"/>
      <c r="CN267" s="129"/>
      <c r="CP267" s="132"/>
      <c r="CQ267" s="128"/>
      <c r="CR267" s="129"/>
      <c r="CT267" s="132"/>
      <c r="CU267" s="128"/>
      <c r="CV267" s="129"/>
      <c r="CX267" s="132"/>
      <c r="CY267" s="128"/>
      <c r="CZ267" s="129"/>
      <c r="DB267" s="132"/>
      <c r="DC267" s="128"/>
      <c r="DD267" s="129"/>
      <c r="DF267" s="132"/>
      <c r="DG267" s="85"/>
      <c r="DH267" s="85"/>
      <c r="DI267" s="84"/>
      <c r="DK267" s="84"/>
      <c r="DP267" s="84"/>
      <c r="DU267" s="84"/>
      <c r="DY267" s="84"/>
      <c r="EC267" s="84"/>
      <c r="EG267" s="84"/>
      <c r="EK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128"/>
      <c r="AA268" s="129"/>
      <c r="AC268" s="130"/>
      <c r="AD268" s="128"/>
      <c r="AE268" s="129"/>
      <c r="AG268" s="130"/>
      <c r="AH268" s="128"/>
      <c r="AI268" s="129"/>
      <c r="AK268" s="130"/>
      <c r="AL268" s="128"/>
      <c r="AM268" s="129"/>
      <c r="AO268" s="130"/>
      <c r="AP268" s="128"/>
      <c r="AQ268" s="129"/>
      <c r="AS268" s="130"/>
      <c r="AT268" s="128"/>
      <c r="AU268" s="129"/>
      <c r="AW268" s="130"/>
      <c r="AX268" s="85"/>
      <c r="AY268" s="84"/>
      <c r="AZ268" s="84"/>
      <c r="BA268" s="131"/>
      <c r="BB268" s="84"/>
      <c r="BE268" s="84"/>
      <c r="BI268" s="86"/>
      <c r="BO268" s="84"/>
      <c r="BT268" s="84"/>
      <c r="BY268" s="84"/>
      <c r="CD268" s="84"/>
      <c r="CI268" s="128"/>
      <c r="CJ268" s="129"/>
      <c r="CL268" s="132"/>
      <c r="CM268" s="128"/>
      <c r="CN268" s="129"/>
      <c r="CP268" s="132"/>
      <c r="CQ268" s="128"/>
      <c r="CR268" s="129"/>
      <c r="CT268" s="132"/>
      <c r="CU268" s="128"/>
      <c r="CV268" s="129"/>
      <c r="CX268" s="132"/>
      <c r="CY268" s="128"/>
      <c r="CZ268" s="129"/>
      <c r="DB268" s="132"/>
      <c r="DC268" s="128"/>
      <c r="DD268" s="129"/>
      <c r="DF268" s="132"/>
      <c r="DG268" s="85"/>
      <c r="DH268" s="85"/>
      <c r="DI268" s="84"/>
      <c r="DK268" s="84"/>
      <c r="DP268" s="84"/>
      <c r="DU268" s="84"/>
      <c r="DY268" s="84"/>
      <c r="EC268" s="84"/>
      <c r="EG268" s="84"/>
      <c r="EK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128"/>
      <c r="AA269" s="129"/>
      <c r="AC269" s="130"/>
      <c r="AD269" s="128"/>
      <c r="AE269" s="129"/>
      <c r="AG269" s="130"/>
      <c r="AH269" s="128"/>
      <c r="AI269" s="129"/>
      <c r="AK269" s="130"/>
      <c r="AL269" s="128"/>
      <c r="AM269" s="129"/>
      <c r="AO269" s="130"/>
      <c r="AP269" s="128"/>
      <c r="AQ269" s="129"/>
      <c r="AS269" s="130"/>
      <c r="AT269" s="128"/>
      <c r="AU269" s="129"/>
      <c r="AW269" s="130"/>
      <c r="AX269" s="85"/>
      <c r="AY269" s="84"/>
      <c r="AZ269" s="84"/>
      <c r="BA269" s="131"/>
      <c r="BB269" s="84"/>
      <c r="BE269" s="84"/>
      <c r="BI269" s="86"/>
      <c r="BO269" s="84"/>
      <c r="BT269" s="84"/>
      <c r="BY269" s="84"/>
      <c r="CD269" s="84"/>
      <c r="CI269" s="128"/>
      <c r="CJ269" s="129"/>
      <c r="CL269" s="132"/>
      <c r="CM269" s="128"/>
      <c r="CN269" s="129"/>
      <c r="CP269" s="132"/>
      <c r="CQ269" s="128"/>
      <c r="CR269" s="129"/>
      <c r="CT269" s="132"/>
      <c r="CU269" s="128"/>
      <c r="CV269" s="129"/>
      <c r="CX269" s="132"/>
      <c r="CY269" s="128"/>
      <c r="CZ269" s="129"/>
      <c r="DB269" s="132"/>
      <c r="DC269" s="128"/>
      <c r="DD269" s="129"/>
      <c r="DF269" s="132"/>
      <c r="DG269" s="85"/>
      <c r="DH269" s="85"/>
      <c r="DI269" s="84"/>
      <c r="DK269" s="84"/>
      <c r="DP269" s="84"/>
      <c r="DU269" s="84"/>
      <c r="DY269" s="84"/>
      <c r="EC269" s="84"/>
      <c r="EG269" s="84"/>
      <c r="EK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128"/>
      <c r="AA270" s="129"/>
      <c r="AC270" s="130"/>
      <c r="AD270" s="128"/>
      <c r="AE270" s="129"/>
      <c r="AG270" s="130"/>
      <c r="AH270" s="128"/>
      <c r="AI270" s="129"/>
      <c r="AK270" s="130"/>
      <c r="AL270" s="128"/>
      <c r="AM270" s="129"/>
      <c r="AO270" s="130"/>
      <c r="AP270" s="128"/>
      <c r="AQ270" s="129"/>
      <c r="AS270" s="130"/>
      <c r="AT270" s="128"/>
      <c r="AU270" s="129"/>
      <c r="AW270" s="130"/>
      <c r="AX270" s="85"/>
      <c r="AY270" s="84"/>
      <c r="AZ270" s="84"/>
      <c r="BA270" s="131"/>
      <c r="BB270" s="84"/>
      <c r="BE270" s="84"/>
      <c r="BI270" s="86"/>
      <c r="BO270" s="84"/>
      <c r="BT270" s="84"/>
      <c r="BY270" s="84"/>
      <c r="CD270" s="84"/>
      <c r="CI270" s="128"/>
      <c r="CJ270" s="129"/>
      <c r="CL270" s="132"/>
      <c r="CM270" s="128"/>
      <c r="CN270" s="129"/>
      <c r="CP270" s="132"/>
      <c r="CQ270" s="128"/>
      <c r="CR270" s="129"/>
      <c r="CT270" s="132"/>
      <c r="CU270" s="128"/>
      <c r="CV270" s="129"/>
      <c r="CX270" s="132"/>
      <c r="CY270" s="128"/>
      <c r="CZ270" s="129"/>
      <c r="DB270" s="132"/>
      <c r="DC270" s="128"/>
      <c r="DD270" s="129"/>
      <c r="DF270" s="132"/>
      <c r="DG270" s="85"/>
      <c r="DH270" s="85"/>
      <c r="DI270" s="84"/>
      <c r="DK270" s="84"/>
      <c r="DP270" s="84"/>
      <c r="DU270" s="84"/>
      <c r="DY270" s="84"/>
      <c r="EC270" s="84"/>
      <c r="EG270" s="84"/>
      <c r="EK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128"/>
      <c r="AA271" s="129"/>
      <c r="AC271" s="130"/>
      <c r="AD271" s="128"/>
      <c r="AE271" s="129"/>
      <c r="AG271" s="130"/>
      <c r="AH271" s="128"/>
      <c r="AI271" s="129"/>
      <c r="AK271" s="130"/>
      <c r="AL271" s="128"/>
      <c r="AM271" s="129"/>
      <c r="AO271" s="130"/>
      <c r="AP271" s="128"/>
      <c r="AQ271" s="129"/>
      <c r="AS271" s="130"/>
      <c r="AT271" s="128"/>
      <c r="AU271" s="129"/>
      <c r="AW271" s="130"/>
      <c r="AX271" s="85"/>
      <c r="AY271" s="84"/>
      <c r="AZ271" s="84"/>
      <c r="BA271" s="131"/>
      <c r="BB271" s="84"/>
      <c r="BE271" s="84"/>
      <c r="BI271" s="86"/>
      <c r="BO271" s="84"/>
      <c r="BT271" s="84"/>
      <c r="BY271" s="84"/>
      <c r="CD271" s="84"/>
      <c r="CI271" s="128"/>
      <c r="CJ271" s="129"/>
      <c r="CL271" s="132"/>
      <c r="CM271" s="128"/>
      <c r="CN271" s="129"/>
      <c r="CP271" s="132"/>
      <c r="CQ271" s="128"/>
      <c r="CR271" s="129"/>
      <c r="CT271" s="132"/>
      <c r="CU271" s="128"/>
      <c r="CV271" s="129"/>
      <c r="CX271" s="132"/>
      <c r="CY271" s="128"/>
      <c r="CZ271" s="129"/>
      <c r="DB271" s="132"/>
      <c r="DC271" s="128"/>
      <c r="DD271" s="129"/>
      <c r="DF271" s="132"/>
      <c r="DG271" s="85"/>
      <c r="DH271" s="85"/>
      <c r="DI271" s="84"/>
      <c r="DK271" s="84"/>
      <c r="DP271" s="84"/>
      <c r="DU271" s="84"/>
      <c r="DY271" s="84"/>
      <c r="EC271" s="84"/>
      <c r="EG271" s="84"/>
      <c r="EK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128"/>
      <c r="AA272" s="129"/>
      <c r="AC272" s="130"/>
      <c r="AD272" s="128"/>
      <c r="AE272" s="129"/>
      <c r="AG272" s="130"/>
      <c r="AH272" s="128"/>
      <c r="AI272" s="129"/>
      <c r="AK272" s="130"/>
      <c r="AL272" s="128"/>
      <c r="AM272" s="129"/>
      <c r="AO272" s="130"/>
      <c r="AP272" s="128"/>
      <c r="AQ272" s="129"/>
      <c r="AS272" s="130"/>
      <c r="AT272" s="128"/>
      <c r="AU272" s="129"/>
      <c r="AW272" s="130"/>
      <c r="AX272" s="85"/>
      <c r="AY272" s="84"/>
      <c r="AZ272" s="84"/>
      <c r="BA272" s="131"/>
      <c r="BB272" s="84"/>
      <c r="BE272" s="84"/>
      <c r="BI272" s="86"/>
      <c r="BO272" s="84"/>
      <c r="BT272" s="84"/>
      <c r="BY272" s="84"/>
      <c r="CD272" s="84"/>
      <c r="CI272" s="128"/>
      <c r="CJ272" s="129"/>
      <c r="CL272" s="132"/>
      <c r="CM272" s="128"/>
      <c r="CN272" s="129"/>
      <c r="CP272" s="132"/>
      <c r="CQ272" s="128"/>
      <c r="CR272" s="129"/>
      <c r="CT272" s="132"/>
      <c r="CU272" s="128"/>
      <c r="CV272" s="129"/>
      <c r="CX272" s="132"/>
      <c r="CY272" s="128"/>
      <c r="CZ272" s="129"/>
      <c r="DB272" s="132"/>
      <c r="DC272" s="128"/>
      <c r="DD272" s="129"/>
      <c r="DF272" s="132"/>
      <c r="DG272" s="85"/>
      <c r="DH272" s="85"/>
      <c r="DI272" s="84"/>
      <c r="DK272" s="84"/>
      <c r="DP272" s="84"/>
      <c r="DU272" s="84"/>
      <c r="DY272" s="84"/>
      <c r="EC272" s="84"/>
      <c r="EG272" s="84"/>
      <c r="EK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128"/>
      <c r="AA273" s="129"/>
      <c r="AC273" s="130"/>
      <c r="AD273" s="128"/>
      <c r="AE273" s="129"/>
      <c r="AG273" s="130"/>
      <c r="AH273" s="128"/>
      <c r="AI273" s="129"/>
      <c r="AK273" s="130"/>
      <c r="AL273" s="128"/>
      <c r="AM273" s="129"/>
      <c r="AO273" s="130"/>
      <c r="AP273" s="128"/>
      <c r="AQ273" s="129"/>
      <c r="AS273" s="130"/>
      <c r="AT273" s="128"/>
      <c r="AU273" s="129"/>
      <c r="AW273" s="130"/>
      <c r="AX273" s="85"/>
      <c r="AY273" s="84"/>
      <c r="AZ273" s="84"/>
      <c r="BA273" s="131"/>
      <c r="BB273" s="84"/>
      <c r="BE273" s="84"/>
      <c r="BI273" s="86"/>
      <c r="BO273" s="84"/>
      <c r="BT273" s="84"/>
      <c r="BY273" s="84"/>
      <c r="CD273" s="84"/>
      <c r="CI273" s="128"/>
      <c r="CJ273" s="129"/>
      <c r="CL273" s="132"/>
      <c r="CM273" s="128"/>
      <c r="CN273" s="129"/>
      <c r="CP273" s="132"/>
      <c r="CQ273" s="128"/>
      <c r="CR273" s="129"/>
      <c r="CT273" s="132"/>
      <c r="CU273" s="128"/>
      <c r="CV273" s="129"/>
      <c r="CX273" s="132"/>
      <c r="CY273" s="128"/>
      <c r="CZ273" s="129"/>
      <c r="DB273" s="132"/>
      <c r="DC273" s="128"/>
      <c r="DD273" s="129"/>
      <c r="DF273" s="132"/>
      <c r="DG273" s="85"/>
      <c r="DH273" s="85"/>
      <c r="DI273" s="84"/>
      <c r="DK273" s="84"/>
      <c r="DP273" s="84"/>
      <c r="DU273" s="84"/>
      <c r="DY273" s="84"/>
      <c r="EC273" s="84"/>
      <c r="EG273" s="84"/>
      <c r="EK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128"/>
      <c r="AA274" s="129"/>
      <c r="AC274" s="130"/>
      <c r="AD274" s="128"/>
      <c r="AE274" s="129"/>
      <c r="AG274" s="130"/>
      <c r="AH274" s="128"/>
      <c r="AI274" s="129"/>
      <c r="AK274" s="130"/>
      <c r="AL274" s="128"/>
      <c r="AM274" s="129"/>
      <c r="AO274" s="130"/>
      <c r="AP274" s="128"/>
      <c r="AQ274" s="129"/>
      <c r="AS274" s="130"/>
      <c r="AT274" s="128"/>
      <c r="AU274" s="129"/>
      <c r="AW274" s="130"/>
      <c r="AX274" s="85"/>
      <c r="AY274" s="84"/>
      <c r="AZ274" s="84"/>
      <c r="BA274" s="131"/>
      <c r="BB274" s="84"/>
      <c r="BE274" s="84"/>
      <c r="BI274" s="86"/>
      <c r="BO274" s="84"/>
      <c r="BT274" s="84"/>
      <c r="BY274" s="84"/>
      <c r="CD274" s="84"/>
      <c r="CI274" s="128"/>
      <c r="CJ274" s="129"/>
      <c r="CL274" s="132"/>
      <c r="CM274" s="128"/>
      <c r="CN274" s="129"/>
      <c r="CP274" s="132"/>
      <c r="CQ274" s="128"/>
      <c r="CR274" s="129"/>
      <c r="CT274" s="132"/>
      <c r="CU274" s="128"/>
      <c r="CV274" s="129"/>
      <c r="CX274" s="132"/>
      <c r="CY274" s="128"/>
      <c r="CZ274" s="129"/>
      <c r="DB274" s="132"/>
      <c r="DC274" s="128"/>
      <c r="DD274" s="129"/>
      <c r="DF274" s="132"/>
      <c r="DG274" s="85"/>
      <c r="DH274" s="85"/>
      <c r="DI274" s="84"/>
      <c r="DK274" s="84"/>
      <c r="DP274" s="84"/>
      <c r="DU274" s="84"/>
      <c r="DY274" s="84"/>
      <c r="EC274" s="84"/>
      <c r="EG274" s="84"/>
      <c r="EK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128"/>
      <c r="AA275" s="129"/>
      <c r="AC275" s="130"/>
      <c r="AD275" s="128"/>
      <c r="AE275" s="129"/>
      <c r="AG275" s="130"/>
      <c r="AH275" s="128"/>
      <c r="AI275" s="129"/>
      <c r="AK275" s="130"/>
      <c r="AL275" s="128"/>
      <c r="AM275" s="129"/>
      <c r="AO275" s="130"/>
      <c r="AP275" s="128"/>
      <c r="AQ275" s="129"/>
      <c r="AS275" s="130"/>
      <c r="AT275" s="128"/>
      <c r="AU275" s="129"/>
      <c r="AW275" s="130"/>
      <c r="AX275" s="85"/>
      <c r="AY275" s="84"/>
      <c r="AZ275" s="84"/>
      <c r="BA275" s="131"/>
      <c r="BB275" s="84"/>
      <c r="BE275" s="84"/>
      <c r="BI275" s="86"/>
      <c r="BO275" s="84"/>
      <c r="BT275" s="84"/>
      <c r="BY275" s="84"/>
      <c r="CD275" s="84"/>
      <c r="CI275" s="128"/>
      <c r="CJ275" s="129"/>
      <c r="CL275" s="132"/>
      <c r="CM275" s="128"/>
      <c r="CN275" s="129"/>
      <c r="CP275" s="132"/>
      <c r="CQ275" s="128"/>
      <c r="CR275" s="129"/>
      <c r="CT275" s="132"/>
      <c r="CU275" s="128"/>
      <c r="CV275" s="129"/>
      <c r="CX275" s="132"/>
      <c r="CY275" s="128"/>
      <c r="CZ275" s="129"/>
      <c r="DB275" s="132"/>
      <c r="DC275" s="128"/>
      <c r="DD275" s="129"/>
      <c r="DF275" s="132"/>
      <c r="DG275" s="85"/>
      <c r="DH275" s="85"/>
      <c r="DI275" s="84"/>
      <c r="DK275" s="84"/>
      <c r="DP275" s="84"/>
      <c r="DU275" s="84"/>
      <c r="DY275" s="84"/>
      <c r="EC275" s="84"/>
      <c r="EG275" s="84"/>
      <c r="EK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128"/>
      <c r="AA276" s="129"/>
      <c r="AC276" s="130"/>
      <c r="AD276" s="128"/>
      <c r="AE276" s="129"/>
      <c r="AG276" s="130"/>
      <c r="AH276" s="128"/>
      <c r="AI276" s="129"/>
      <c r="AK276" s="130"/>
      <c r="AL276" s="128"/>
      <c r="AM276" s="129"/>
      <c r="AO276" s="130"/>
      <c r="AP276" s="128"/>
      <c r="AQ276" s="129"/>
      <c r="AS276" s="130"/>
      <c r="AT276" s="128"/>
      <c r="AU276" s="129"/>
      <c r="AW276" s="130"/>
      <c r="AX276" s="85"/>
      <c r="AY276" s="84"/>
      <c r="AZ276" s="84"/>
      <c r="BA276" s="131"/>
      <c r="BB276" s="84"/>
      <c r="BE276" s="84"/>
      <c r="BI276" s="86"/>
      <c r="BO276" s="84"/>
      <c r="BT276" s="84"/>
      <c r="BY276" s="84"/>
      <c r="CD276" s="84"/>
      <c r="CI276" s="128"/>
      <c r="CJ276" s="129"/>
      <c r="CL276" s="132"/>
      <c r="CM276" s="128"/>
      <c r="CN276" s="129"/>
      <c r="CP276" s="132"/>
      <c r="CQ276" s="128"/>
      <c r="CR276" s="129"/>
      <c r="CT276" s="132"/>
      <c r="CU276" s="128"/>
      <c r="CV276" s="129"/>
      <c r="CX276" s="132"/>
      <c r="CY276" s="128"/>
      <c r="CZ276" s="129"/>
      <c r="DB276" s="132"/>
      <c r="DC276" s="128"/>
      <c r="DD276" s="129"/>
      <c r="DF276" s="132"/>
      <c r="DG276" s="85"/>
      <c r="DH276" s="85"/>
      <c r="DI276" s="84"/>
      <c r="DK276" s="84"/>
      <c r="DP276" s="84"/>
      <c r="DU276" s="84"/>
      <c r="DY276" s="84"/>
      <c r="EC276" s="84"/>
      <c r="EG276" s="84"/>
      <c r="EK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128"/>
      <c r="AA277" s="129"/>
      <c r="AC277" s="130"/>
      <c r="AD277" s="128"/>
      <c r="AE277" s="129"/>
      <c r="AG277" s="130"/>
      <c r="AH277" s="128"/>
      <c r="AI277" s="129"/>
      <c r="AK277" s="130"/>
      <c r="AL277" s="128"/>
      <c r="AM277" s="129"/>
      <c r="AO277" s="130"/>
      <c r="AP277" s="128"/>
      <c r="AQ277" s="129"/>
      <c r="AS277" s="130"/>
      <c r="AT277" s="128"/>
      <c r="AU277" s="129"/>
      <c r="AW277" s="130"/>
      <c r="AX277" s="85"/>
      <c r="AY277" s="84"/>
      <c r="AZ277" s="84"/>
      <c r="BA277" s="131"/>
      <c r="BB277" s="84"/>
      <c r="BE277" s="84"/>
      <c r="BI277" s="86"/>
      <c r="BO277" s="84"/>
      <c r="BT277" s="84"/>
      <c r="BY277" s="84"/>
      <c r="CD277" s="84"/>
      <c r="CI277" s="128"/>
      <c r="CJ277" s="129"/>
      <c r="CL277" s="132"/>
      <c r="CM277" s="128"/>
      <c r="CN277" s="129"/>
      <c r="CP277" s="132"/>
      <c r="CQ277" s="128"/>
      <c r="CR277" s="129"/>
      <c r="CT277" s="132"/>
      <c r="CU277" s="128"/>
      <c r="CV277" s="129"/>
      <c r="CX277" s="132"/>
      <c r="CY277" s="128"/>
      <c r="CZ277" s="129"/>
      <c r="DB277" s="132"/>
      <c r="DC277" s="128"/>
      <c r="DD277" s="129"/>
      <c r="DF277" s="132"/>
      <c r="DG277" s="85"/>
      <c r="DH277" s="85"/>
      <c r="DI277" s="84"/>
      <c r="DK277" s="84"/>
      <c r="DP277" s="84"/>
      <c r="DU277" s="84"/>
      <c r="DY277" s="84"/>
      <c r="EC277" s="84"/>
      <c r="EG277" s="84"/>
      <c r="EK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128"/>
      <c r="AA278" s="129"/>
      <c r="AC278" s="130"/>
      <c r="AD278" s="128"/>
      <c r="AE278" s="129"/>
      <c r="AG278" s="130"/>
      <c r="AH278" s="128"/>
      <c r="AI278" s="129"/>
      <c r="AK278" s="130"/>
      <c r="AL278" s="128"/>
      <c r="AM278" s="129"/>
      <c r="AO278" s="130"/>
      <c r="AP278" s="128"/>
      <c r="AQ278" s="129"/>
      <c r="AS278" s="130"/>
      <c r="AT278" s="128"/>
      <c r="AU278" s="129"/>
      <c r="AW278" s="130"/>
      <c r="AX278" s="85"/>
      <c r="AY278" s="84"/>
      <c r="AZ278" s="84"/>
      <c r="BA278" s="131"/>
      <c r="BB278" s="84"/>
      <c r="BE278" s="84"/>
      <c r="BI278" s="86"/>
      <c r="BO278" s="84"/>
      <c r="BT278" s="84"/>
      <c r="BY278" s="84"/>
      <c r="CD278" s="84"/>
      <c r="CI278" s="128"/>
      <c r="CJ278" s="129"/>
      <c r="CL278" s="132"/>
      <c r="CM278" s="128"/>
      <c r="CN278" s="129"/>
      <c r="CP278" s="132"/>
      <c r="CQ278" s="128"/>
      <c r="CR278" s="129"/>
      <c r="CT278" s="132"/>
      <c r="CU278" s="128"/>
      <c r="CV278" s="129"/>
      <c r="CX278" s="132"/>
      <c r="CY278" s="128"/>
      <c r="CZ278" s="129"/>
      <c r="DB278" s="132"/>
      <c r="DC278" s="128"/>
      <c r="DD278" s="129"/>
      <c r="DF278" s="132"/>
      <c r="DG278" s="85"/>
      <c r="DH278" s="85"/>
      <c r="DI278" s="84"/>
      <c r="DK278" s="84"/>
      <c r="DP278" s="84"/>
      <c r="DU278" s="84"/>
      <c r="DY278" s="84"/>
      <c r="EC278" s="84"/>
      <c r="EG278" s="84"/>
      <c r="EK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128"/>
      <c r="AA279" s="129"/>
      <c r="AC279" s="130"/>
      <c r="AD279" s="128"/>
      <c r="AE279" s="129"/>
      <c r="AG279" s="130"/>
      <c r="AH279" s="128"/>
      <c r="AI279" s="129"/>
      <c r="AK279" s="130"/>
      <c r="AL279" s="128"/>
      <c r="AM279" s="129"/>
      <c r="AO279" s="130"/>
      <c r="AP279" s="128"/>
      <c r="AQ279" s="129"/>
      <c r="AS279" s="130"/>
      <c r="AT279" s="128"/>
      <c r="AU279" s="129"/>
      <c r="AW279" s="130"/>
      <c r="AX279" s="85"/>
      <c r="AY279" s="84"/>
      <c r="AZ279" s="84"/>
      <c r="BA279" s="131"/>
      <c r="BB279" s="84"/>
      <c r="BE279" s="84"/>
      <c r="BI279" s="86"/>
      <c r="BO279" s="84"/>
      <c r="BT279" s="84"/>
      <c r="BY279" s="84"/>
      <c r="CD279" s="84"/>
      <c r="CI279" s="128"/>
      <c r="CJ279" s="129"/>
      <c r="CL279" s="132"/>
      <c r="CM279" s="128"/>
      <c r="CN279" s="129"/>
      <c r="CP279" s="132"/>
      <c r="CQ279" s="128"/>
      <c r="CR279" s="129"/>
      <c r="CT279" s="132"/>
      <c r="CU279" s="128"/>
      <c r="CV279" s="129"/>
      <c r="CX279" s="132"/>
      <c r="CY279" s="128"/>
      <c r="CZ279" s="129"/>
      <c r="DB279" s="132"/>
      <c r="DC279" s="128"/>
      <c r="DD279" s="129"/>
      <c r="DF279" s="132"/>
      <c r="DG279" s="85"/>
      <c r="DH279" s="85"/>
      <c r="DI279" s="84"/>
      <c r="DK279" s="84"/>
      <c r="DP279" s="84"/>
      <c r="DU279" s="84"/>
      <c r="DY279" s="84"/>
      <c r="EC279" s="84"/>
      <c r="EG279" s="84"/>
      <c r="EK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128"/>
      <c r="AA280" s="129"/>
      <c r="AC280" s="130"/>
      <c r="AD280" s="128"/>
      <c r="AE280" s="129"/>
      <c r="AG280" s="130"/>
      <c r="AH280" s="128"/>
      <c r="AI280" s="129"/>
      <c r="AK280" s="130"/>
      <c r="AL280" s="128"/>
      <c r="AM280" s="129"/>
      <c r="AO280" s="130"/>
      <c r="AP280" s="128"/>
      <c r="AQ280" s="129"/>
      <c r="AS280" s="130"/>
      <c r="AT280" s="128"/>
      <c r="AU280" s="129"/>
      <c r="AW280" s="130"/>
      <c r="AX280" s="85"/>
      <c r="AY280" s="84"/>
      <c r="AZ280" s="84"/>
      <c r="BA280" s="131"/>
      <c r="BB280" s="84"/>
      <c r="BE280" s="84"/>
      <c r="BI280" s="86"/>
      <c r="BO280" s="84"/>
      <c r="BT280" s="84"/>
      <c r="BY280" s="84"/>
      <c r="CD280" s="84"/>
      <c r="CI280" s="128"/>
      <c r="CJ280" s="129"/>
      <c r="CL280" s="132"/>
      <c r="CM280" s="128"/>
      <c r="CN280" s="129"/>
      <c r="CP280" s="132"/>
      <c r="CQ280" s="128"/>
      <c r="CR280" s="129"/>
      <c r="CT280" s="132"/>
      <c r="CU280" s="128"/>
      <c r="CV280" s="129"/>
      <c r="CX280" s="132"/>
      <c r="CY280" s="128"/>
      <c r="CZ280" s="129"/>
      <c r="DB280" s="132"/>
      <c r="DC280" s="128"/>
      <c r="DD280" s="129"/>
      <c r="DF280" s="132"/>
      <c r="DG280" s="85"/>
      <c r="DH280" s="85"/>
      <c r="DI280" s="84"/>
      <c r="DK280" s="84"/>
      <c r="DP280" s="84"/>
      <c r="DU280" s="84"/>
      <c r="DY280" s="84"/>
      <c r="EC280" s="84"/>
      <c r="EG280" s="84"/>
      <c r="EK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128"/>
      <c r="AA281" s="129"/>
      <c r="AC281" s="130"/>
      <c r="AD281" s="128"/>
      <c r="AE281" s="129"/>
      <c r="AG281" s="130"/>
      <c r="AH281" s="128"/>
      <c r="AI281" s="129"/>
      <c r="AK281" s="130"/>
      <c r="AL281" s="128"/>
      <c r="AM281" s="129"/>
      <c r="AO281" s="130"/>
      <c r="AP281" s="128"/>
      <c r="AQ281" s="129"/>
      <c r="AS281" s="130"/>
      <c r="AT281" s="128"/>
      <c r="AU281" s="129"/>
      <c r="AW281" s="130"/>
      <c r="AX281" s="85"/>
      <c r="AY281" s="84"/>
      <c r="AZ281" s="84"/>
      <c r="BA281" s="131"/>
      <c r="BB281" s="84"/>
      <c r="BE281" s="84"/>
      <c r="BI281" s="86"/>
      <c r="BO281" s="84"/>
      <c r="BT281" s="84"/>
      <c r="BY281" s="84"/>
      <c r="CD281" s="84"/>
      <c r="CI281" s="128"/>
      <c r="CJ281" s="129"/>
      <c r="CL281" s="132"/>
      <c r="CM281" s="128"/>
      <c r="CN281" s="129"/>
      <c r="CP281" s="132"/>
      <c r="CQ281" s="128"/>
      <c r="CR281" s="129"/>
      <c r="CT281" s="132"/>
      <c r="CU281" s="128"/>
      <c r="CV281" s="129"/>
      <c r="CX281" s="132"/>
      <c r="CY281" s="128"/>
      <c r="CZ281" s="129"/>
      <c r="DB281" s="132"/>
      <c r="DC281" s="128"/>
      <c r="DD281" s="129"/>
      <c r="DF281" s="132"/>
      <c r="DG281" s="85"/>
      <c r="DH281" s="85"/>
      <c r="DI281" s="84"/>
      <c r="DK281" s="84"/>
      <c r="DP281" s="84"/>
      <c r="DU281" s="84"/>
      <c r="DY281" s="84"/>
      <c r="EC281" s="84"/>
      <c r="EG281" s="84"/>
      <c r="EK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128"/>
      <c r="AA282" s="129"/>
      <c r="AC282" s="130"/>
      <c r="AD282" s="128"/>
      <c r="AE282" s="129"/>
      <c r="AG282" s="130"/>
      <c r="AH282" s="128"/>
      <c r="AI282" s="129"/>
      <c r="AK282" s="130"/>
      <c r="AL282" s="128"/>
      <c r="AM282" s="129"/>
      <c r="AO282" s="130"/>
      <c r="AP282" s="128"/>
      <c r="AQ282" s="129"/>
      <c r="AS282" s="130"/>
      <c r="AT282" s="128"/>
      <c r="AU282" s="129"/>
      <c r="AW282" s="130"/>
      <c r="AX282" s="85"/>
      <c r="AY282" s="84"/>
      <c r="AZ282" s="84"/>
      <c r="BA282" s="131"/>
      <c r="BB282" s="84"/>
      <c r="BE282" s="84"/>
      <c r="BI282" s="86"/>
      <c r="BO282" s="84"/>
      <c r="BT282" s="84"/>
      <c r="BY282" s="84"/>
      <c r="CD282" s="84"/>
      <c r="CI282" s="128"/>
      <c r="CJ282" s="129"/>
      <c r="CL282" s="132"/>
      <c r="CM282" s="128"/>
      <c r="CN282" s="129"/>
      <c r="CP282" s="132"/>
      <c r="CQ282" s="128"/>
      <c r="CR282" s="129"/>
      <c r="CT282" s="132"/>
      <c r="CU282" s="128"/>
      <c r="CV282" s="129"/>
      <c r="CX282" s="132"/>
      <c r="CY282" s="128"/>
      <c r="CZ282" s="129"/>
      <c r="DB282" s="132"/>
      <c r="DC282" s="128"/>
      <c r="DD282" s="129"/>
      <c r="DF282" s="132"/>
      <c r="DG282" s="85"/>
      <c r="DH282" s="85"/>
      <c r="DI282" s="84"/>
      <c r="DK282" s="84"/>
      <c r="DP282" s="84"/>
      <c r="DU282" s="84"/>
      <c r="DY282" s="84"/>
      <c r="EC282" s="84"/>
      <c r="EG282" s="84"/>
      <c r="EK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128"/>
      <c r="AA283" s="129"/>
      <c r="AC283" s="130"/>
      <c r="AD283" s="128"/>
      <c r="AE283" s="129"/>
      <c r="AG283" s="130"/>
      <c r="AH283" s="128"/>
      <c r="AI283" s="129"/>
      <c r="AK283" s="130"/>
      <c r="AL283" s="128"/>
      <c r="AM283" s="129"/>
      <c r="AO283" s="130"/>
      <c r="AP283" s="128"/>
      <c r="AQ283" s="129"/>
      <c r="AS283" s="130"/>
      <c r="AT283" s="128"/>
      <c r="AU283" s="129"/>
      <c r="AW283" s="130"/>
      <c r="AX283" s="85"/>
      <c r="AY283" s="84"/>
      <c r="AZ283" s="84"/>
      <c r="BA283" s="131"/>
      <c r="BB283" s="84"/>
      <c r="BE283" s="84"/>
      <c r="BI283" s="86"/>
      <c r="BO283" s="84"/>
      <c r="BT283" s="84"/>
      <c r="BY283" s="84"/>
      <c r="CD283" s="84"/>
      <c r="CI283" s="128"/>
      <c r="CJ283" s="129"/>
      <c r="CL283" s="132"/>
      <c r="CM283" s="128"/>
      <c r="CN283" s="129"/>
      <c r="CP283" s="132"/>
      <c r="CQ283" s="128"/>
      <c r="CR283" s="129"/>
      <c r="CT283" s="132"/>
      <c r="CU283" s="128"/>
      <c r="CV283" s="129"/>
      <c r="CX283" s="132"/>
      <c r="CY283" s="128"/>
      <c r="CZ283" s="129"/>
      <c r="DB283" s="132"/>
      <c r="DC283" s="128"/>
      <c r="DD283" s="129"/>
      <c r="DF283" s="132"/>
      <c r="DG283" s="85"/>
      <c r="DH283" s="85"/>
      <c r="DI283" s="84"/>
      <c r="DK283" s="84"/>
      <c r="DP283" s="84"/>
      <c r="DU283" s="84"/>
      <c r="DY283" s="84"/>
      <c r="EC283" s="84"/>
      <c r="EG283" s="84"/>
      <c r="EK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128"/>
      <c r="AA284" s="129"/>
      <c r="AC284" s="130"/>
      <c r="AD284" s="128"/>
      <c r="AE284" s="129"/>
      <c r="AG284" s="130"/>
      <c r="AH284" s="128"/>
      <c r="AI284" s="129"/>
      <c r="AK284" s="130"/>
      <c r="AL284" s="128"/>
      <c r="AM284" s="129"/>
      <c r="AO284" s="130"/>
      <c r="AP284" s="128"/>
      <c r="AQ284" s="129"/>
      <c r="AS284" s="130"/>
      <c r="AT284" s="128"/>
      <c r="AU284" s="129"/>
      <c r="AW284" s="130"/>
      <c r="AX284" s="85"/>
      <c r="AY284" s="84"/>
      <c r="AZ284" s="84"/>
      <c r="BA284" s="131"/>
      <c r="BB284" s="84"/>
      <c r="BE284" s="84"/>
      <c r="BI284" s="86"/>
      <c r="BO284" s="84"/>
      <c r="BT284" s="84"/>
      <c r="BY284" s="84"/>
      <c r="CD284" s="84"/>
      <c r="CI284" s="128"/>
      <c r="CJ284" s="129"/>
      <c r="CL284" s="132"/>
      <c r="CM284" s="128"/>
      <c r="CN284" s="129"/>
      <c r="CP284" s="132"/>
      <c r="CQ284" s="128"/>
      <c r="CR284" s="129"/>
      <c r="CT284" s="132"/>
      <c r="CU284" s="128"/>
      <c r="CV284" s="129"/>
      <c r="CX284" s="132"/>
      <c r="CY284" s="128"/>
      <c r="CZ284" s="129"/>
      <c r="DB284" s="132"/>
      <c r="DC284" s="128"/>
      <c r="DD284" s="129"/>
      <c r="DF284" s="132"/>
      <c r="DG284" s="85"/>
      <c r="DH284" s="85"/>
      <c r="DI284" s="84"/>
      <c r="DK284" s="84"/>
      <c r="DP284" s="84"/>
      <c r="DU284" s="84"/>
      <c r="DY284" s="84"/>
      <c r="EC284" s="84"/>
      <c r="EG284" s="84"/>
      <c r="EK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128"/>
      <c r="AA285" s="129"/>
      <c r="AC285" s="130"/>
      <c r="AD285" s="128"/>
      <c r="AE285" s="129"/>
      <c r="AG285" s="130"/>
      <c r="AH285" s="128"/>
      <c r="AI285" s="129"/>
      <c r="AK285" s="130"/>
      <c r="AL285" s="128"/>
      <c r="AM285" s="129"/>
      <c r="AO285" s="130"/>
      <c r="AP285" s="128"/>
      <c r="AQ285" s="129"/>
      <c r="AS285" s="130"/>
      <c r="AT285" s="128"/>
      <c r="AU285" s="129"/>
      <c r="AW285" s="130"/>
      <c r="AX285" s="85"/>
      <c r="AY285" s="84"/>
      <c r="AZ285" s="84"/>
      <c r="BA285" s="131"/>
      <c r="BB285" s="84"/>
      <c r="BE285" s="84"/>
      <c r="BI285" s="86"/>
      <c r="BO285" s="84"/>
      <c r="BT285" s="84"/>
      <c r="BY285" s="84"/>
      <c r="CD285" s="84"/>
      <c r="CI285" s="128"/>
      <c r="CJ285" s="129"/>
      <c r="CL285" s="132"/>
      <c r="CM285" s="128"/>
      <c r="CN285" s="129"/>
      <c r="CP285" s="132"/>
      <c r="CQ285" s="128"/>
      <c r="CR285" s="129"/>
      <c r="CT285" s="132"/>
      <c r="CU285" s="128"/>
      <c r="CV285" s="129"/>
      <c r="CX285" s="132"/>
      <c r="CY285" s="128"/>
      <c r="CZ285" s="129"/>
      <c r="DB285" s="132"/>
      <c r="DC285" s="128"/>
      <c r="DD285" s="129"/>
      <c r="DF285" s="132"/>
      <c r="DG285" s="85"/>
      <c r="DH285" s="85"/>
      <c r="DI285" s="84"/>
      <c r="DK285" s="84"/>
      <c r="DP285" s="84"/>
      <c r="DU285" s="84"/>
      <c r="DY285" s="84"/>
      <c r="EC285" s="84"/>
      <c r="EG285" s="84"/>
      <c r="EK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128"/>
      <c r="AA286" s="129"/>
      <c r="AC286" s="130"/>
      <c r="AD286" s="128"/>
      <c r="AE286" s="129"/>
      <c r="AG286" s="130"/>
      <c r="AH286" s="128"/>
      <c r="AI286" s="129"/>
      <c r="AK286" s="130"/>
      <c r="AL286" s="128"/>
      <c r="AM286" s="129"/>
      <c r="AO286" s="130"/>
      <c r="AP286" s="128"/>
      <c r="AQ286" s="129"/>
      <c r="AS286" s="130"/>
      <c r="AT286" s="128"/>
      <c r="AU286" s="129"/>
      <c r="AW286" s="130"/>
      <c r="AX286" s="85"/>
      <c r="AY286" s="84"/>
      <c r="AZ286" s="84"/>
      <c r="BA286" s="131"/>
      <c r="BB286" s="84"/>
      <c r="BE286" s="84"/>
      <c r="BI286" s="86"/>
      <c r="BO286" s="84"/>
      <c r="BT286" s="84"/>
      <c r="BY286" s="84"/>
      <c r="CD286" s="84"/>
      <c r="CI286" s="128"/>
      <c r="CJ286" s="129"/>
      <c r="CL286" s="132"/>
      <c r="CM286" s="128"/>
      <c r="CN286" s="129"/>
      <c r="CP286" s="132"/>
      <c r="CQ286" s="128"/>
      <c r="CR286" s="129"/>
      <c r="CT286" s="132"/>
      <c r="CU286" s="128"/>
      <c r="CV286" s="129"/>
      <c r="CX286" s="132"/>
      <c r="CY286" s="128"/>
      <c r="CZ286" s="129"/>
      <c r="DB286" s="132"/>
      <c r="DC286" s="128"/>
      <c r="DD286" s="129"/>
      <c r="DF286" s="132"/>
      <c r="DG286" s="85"/>
      <c r="DH286" s="85"/>
      <c r="DI286" s="84"/>
      <c r="DK286" s="84"/>
      <c r="DP286" s="84"/>
      <c r="DU286" s="84"/>
      <c r="DY286" s="84"/>
      <c r="EC286" s="84"/>
      <c r="EG286" s="84"/>
      <c r="EK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128"/>
      <c r="AA287" s="129"/>
      <c r="AC287" s="130"/>
      <c r="AD287" s="128"/>
      <c r="AE287" s="129"/>
      <c r="AG287" s="130"/>
      <c r="AH287" s="128"/>
      <c r="AI287" s="129"/>
      <c r="AK287" s="130"/>
      <c r="AL287" s="128"/>
      <c r="AM287" s="129"/>
      <c r="AO287" s="130"/>
      <c r="AP287" s="128"/>
      <c r="AQ287" s="129"/>
      <c r="AS287" s="130"/>
      <c r="AT287" s="128"/>
      <c r="AU287" s="129"/>
      <c r="AW287" s="130"/>
      <c r="AX287" s="85"/>
      <c r="AY287" s="84"/>
      <c r="AZ287" s="84"/>
      <c r="BA287" s="131"/>
      <c r="BB287" s="84"/>
      <c r="BE287" s="84"/>
      <c r="BI287" s="86"/>
      <c r="BO287" s="84"/>
      <c r="BT287" s="84"/>
      <c r="BY287" s="84"/>
      <c r="CD287" s="84"/>
      <c r="CI287" s="128"/>
      <c r="CJ287" s="129"/>
      <c r="CL287" s="132"/>
      <c r="CM287" s="128"/>
      <c r="CN287" s="129"/>
      <c r="CP287" s="132"/>
      <c r="CQ287" s="128"/>
      <c r="CR287" s="129"/>
      <c r="CT287" s="132"/>
      <c r="CU287" s="128"/>
      <c r="CV287" s="129"/>
      <c r="CX287" s="132"/>
      <c r="CY287" s="128"/>
      <c r="CZ287" s="129"/>
      <c r="DB287" s="132"/>
      <c r="DC287" s="128"/>
      <c r="DD287" s="129"/>
      <c r="DF287" s="132"/>
      <c r="DG287" s="85"/>
      <c r="DH287" s="85"/>
      <c r="DI287" s="84"/>
      <c r="DK287" s="84"/>
      <c r="DP287" s="84"/>
      <c r="DU287" s="84"/>
      <c r="DY287" s="84"/>
      <c r="EC287" s="84"/>
      <c r="EG287" s="84"/>
      <c r="EK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128"/>
      <c r="AA288" s="129"/>
      <c r="AC288" s="130"/>
      <c r="AD288" s="128"/>
      <c r="AE288" s="129"/>
      <c r="AG288" s="130"/>
      <c r="AH288" s="128"/>
      <c r="AI288" s="129"/>
      <c r="AK288" s="130"/>
      <c r="AL288" s="128"/>
      <c r="AM288" s="129"/>
      <c r="AO288" s="130"/>
      <c r="AP288" s="128"/>
      <c r="AQ288" s="129"/>
      <c r="AS288" s="130"/>
      <c r="AT288" s="128"/>
      <c r="AU288" s="129"/>
      <c r="AW288" s="130"/>
      <c r="AX288" s="85"/>
      <c r="AY288" s="84"/>
      <c r="AZ288" s="84"/>
      <c r="BA288" s="131"/>
      <c r="BB288" s="84"/>
      <c r="BE288" s="84"/>
      <c r="BI288" s="86"/>
      <c r="BO288" s="84"/>
      <c r="BT288" s="84"/>
      <c r="BY288" s="84"/>
      <c r="CD288" s="84"/>
      <c r="CI288" s="128"/>
      <c r="CJ288" s="129"/>
      <c r="CL288" s="132"/>
      <c r="CM288" s="128"/>
      <c r="CN288" s="129"/>
      <c r="CP288" s="132"/>
      <c r="CQ288" s="128"/>
      <c r="CR288" s="129"/>
      <c r="CT288" s="132"/>
      <c r="CU288" s="128"/>
      <c r="CV288" s="129"/>
      <c r="CX288" s="132"/>
      <c r="CY288" s="128"/>
      <c r="CZ288" s="129"/>
      <c r="DB288" s="132"/>
      <c r="DC288" s="128"/>
      <c r="DD288" s="129"/>
      <c r="DF288" s="132"/>
      <c r="DG288" s="85"/>
      <c r="DH288" s="85"/>
      <c r="DI288" s="84"/>
      <c r="DK288" s="84"/>
      <c r="DP288" s="84"/>
      <c r="DU288" s="84"/>
      <c r="DY288" s="84"/>
      <c r="EC288" s="84"/>
      <c r="EG288" s="84"/>
      <c r="EK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128"/>
      <c r="AA289" s="129"/>
      <c r="AC289" s="130"/>
      <c r="AD289" s="128"/>
      <c r="AE289" s="129"/>
      <c r="AG289" s="130"/>
      <c r="AH289" s="128"/>
      <c r="AI289" s="129"/>
      <c r="AK289" s="130"/>
      <c r="AL289" s="128"/>
      <c r="AM289" s="129"/>
      <c r="AO289" s="130"/>
      <c r="AP289" s="128"/>
      <c r="AQ289" s="129"/>
      <c r="AS289" s="130"/>
      <c r="AT289" s="128"/>
      <c r="AU289" s="129"/>
      <c r="AW289" s="130"/>
      <c r="AX289" s="85"/>
      <c r="AY289" s="84"/>
      <c r="AZ289" s="84"/>
      <c r="BA289" s="131"/>
      <c r="BB289" s="84"/>
      <c r="BE289" s="84"/>
      <c r="BI289" s="86"/>
      <c r="BO289" s="84"/>
      <c r="BT289" s="84"/>
      <c r="BY289" s="84"/>
      <c r="CD289" s="84"/>
      <c r="CI289" s="128"/>
      <c r="CJ289" s="129"/>
      <c r="CL289" s="132"/>
      <c r="CM289" s="128"/>
      <c r="CN289" s="129"/>
      <c r="CP289" s="132"/>
      <c r="CQ289" s="128"/>
      <c r="CR289" s="129"/>
      <c r="CT289" s="132"/>
      <c r="CU289" s="128"/>
      <c r="CV289" s="129"/>
      <c r="CX289" s="132"/>
      <c r="CY289" s="128"/>
      <c r="CZ289" s="129"/>
      <c r="DB289" s="132"/>
      <c r="DC289" s="128"/>
      <c r="DD289" s="129"/>
      <c r="DF289" s="132"/>
      <c r="DG289" s="85"/>
      <c r="DH289" s="85"/>
      <c r="DI289" s="84"/>
      <c r="DK289" s="84"/>
      <c r="DP289" s="84"/>
      <c r="DU289" s="84"/>
      <c r="DY289" s="84"/>
      <c r="EC289" s="84"/>
      <c r="EG289" s="84"/>
      <c r="EK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128"/>
      <c r="AA290" s="129"/>
      <c r="AC290" s="130"/>
      <c r="AD290" s="128"/>
      <c r="AE290" s="129"/>
      <c r="AG290" s="130"/>
      <c r="AH290" s="128"/>
      <c r="AI290" s="129"/>
      <c r="AK290" s="130"/>
      <c r="AL290" s="128"/>
      <c r="AM290" s="129"/>
      <c r="AO290" s="130"/>
      <c r="AP290" s="128"/>
      <c r="AQ290" s="129"/>
      <c r="AS290" s="130"/>
      <c r="AT290" s="128"/>
      <c r="AU290" s="129"/>
      <c r="AW290" s="130"/>
      <c r="AX290" s="85"/>
      <c r="AY290" s="84"/>
      <c r="AZ290" s="84"/>
      <c r="BA290" s="131"/>
      <c r="BB290" s="84"/>
      <c r="BE290" s="84"/>
      <c r="BI290" s="86"/>
      <c r="BO290" s="84"/>
      <c r="BT290" s="84"/>
      <c r="BY290" s="84"/>
      <c r="CD290" s="84"/>
      <c r="CI290" s="128"/>
      <c r="CJ290" s="129"/>
      <c r="CL290" s="132"/>
      <c r="CM290" s="128"/>
      <c r="CN290" s="129"/>
      <c r="CP290" s="132"/>
      <c r="CQ290" s="128"/>
      <c r="CR290" s="129"/>
      <c r="CT290" s="132"/>
      <c r="CU290" s="128"/>
      <c r="CV290" s="129"/>
      <c r="CX290" s="132"/>
      <c r="CY290" s="128"/>
      <c r="CZ290" s="129"/>
      <c r="DB290" s="132"/>
      <c r="DC290" s="128"/>
      <c r="DD290" s="129"/>
      <c r="DF290" s="132"/>
      <c r="DG290" s="85"/>
      <c r="DH290" s="85"/>
      <c r="DI290" s="84"/>
      <c r="DK290" s="84"/>
      <c r="DP290" s="84"/>
      <c r="DU290" s="84"/>
      <c r="DY290" s="84"/>
      <c r="EC290" s="84"/>
      <c r="EG290" s="84"/>
      <c r="EK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128"/>
      <c r="AA291" s="129"/>
      <c r="AC291" s="130"/>
      <c r="AD291" s="128"/>
      <c r="AE291" s="129"/>
      <c r="AG291" s="130"/>
      <c r="AH291" s="128"/>
      <c r="AI291" s="129"/>
      <c r="AK291" s="130"/>
      <c r="AL291" s="128"/>
      <c r="AM291" s="129"/>
      <c r="AO291" s="130"/>
      <c r="AP291" s="128"/>
      <c r="AQ291" s="129"/>
      <c r="AS291" s="130"/>
      <c r="AT291" s="128"/>
      <c r="AU291" s="129"/>
      <c r="AW291" s="130"/>
      <c r="AX291" s="85"/>
      <c r="AY291" s="84"/>
      <c r="AZ291" s="84"/>
      <c r="BA291" s="131"/>
      <c r="BB291" s="84"/>
      <c r="BE291" s="84"/>
      <c r="BI291" s="86"/>
      <c r="BO291" s="84"/>
      <c r="BT291" s="84"/>
      <c r="BY291" s="84"/>
      <c r="CD291" s="84"/>
      <c r="CI291" s="128"/>
      <c r="CJ291" s="129"/>
      <c r="CL291" s="132"/>
      <c r="CM291" s="128"/>
      <c r="CN291" s="129"/>
      <c r="CP291" s="132"/>
      <c r="CQ291" s="128"/>
      <c r="CR291" s="129"/>
      <c r="CT291" s="132"/>
      <c r="CU291" s="128"/>
      <c r="CV291" s="129"/>
      <c r="CX291" s="132"/>
      <c r="CY291" s="128"/>
      <c r="CZ291" s="129"/>
      <c r="DB291" s="132"/>
      <c r="DC291" s="128"/>
      <c r="DD291" s="129"/>
      <c r="DF291" s="132"/>
      <c r="DG291" s="85"/>
      <c r="DH291" s="85"/>
      <c r="DI291" s="84"/>
      <c r="DK291" s="84"/>
      <c r="DP291" s="84"/>
      <c r="DU291" s="84"/>
      <c r="DY291" s="84"/>
      <c r="EC291" s="84"/>
      <c r="EG291" s="84"/>
      <c r="EK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128"/>
      <c r="AA292" s="129"/>
      <c r="AC292" s="130"/>
      <c r="AD292" s="128"/>
      <c r="AE292" s="129"/>
      <c r="AG292" s="130"/>
      <c r="AH292" s="128"/>
      <c r="AI292" s="129"/>
      <c r="AK292" s="130"/>
      <c r="AL292" s="128"/>
      <c r="AM292" s="129"/>
      <c r="AO292" s="130"/>
      <c r="AP292" s="128"/>
      <c r="AQ292" s="129"/>
      <c r="AS292" s="130"/>
      <c r="AT292" s="128"/>
      <c r="AU292" s="129"/>
      <c r="AW292" s="130"/>
      <c r="AX292" s="85"/>
      <c r="AY292" s="84"/>
      <c r="AZ292" s="84"/>
      <c r="BA292" s="131"/>
      <c r="BB292" s="84"/>
      <c r="BE292" s="84"/>
      <c r="BI292" s="86"/>
      <c r="BO292" s="84"/>
      <c r="BT292" s="84"/>
      <c r="BY292" s="84"/>
      <c r="CD292" s="84"/>
      <c r="CI292" s="128"/>
      <c r="CJ292" s="129"/>
      <c r="CL292" s="132"/>
      <c r="CM292" s="128"/>
      <c r="CN292" s="129"/>
      <c r="CP292" s="132"/>
      <c r="CQ292" s="128"/>
      <c r="CR292" s="129"/>
      <c r="CT292" s="132"/>
      <c r="CU292" s="128"/>
      <c r="CV292" s="129"/>
      <c r="CX292" s="132"/>
      <c r="CY292" s="128"/>
      <c r="CZ292" s="129"/>
      <c r="DB292" s="132"/>
      <c r="DC292" s="128"/>
      <c r="DD292" s="129"/>
      <c r="DF292" s="132"/>
      <c r="DG292" s="85"/>
      <c r="DH292" s="85"/>
      <c r="DI292" s="84"/>
      <c r="DK292" s="84"/>
      <c r="DP292" s="84"/>
      <c r="DU292" s="84"/>
      <c r="DY292" s="84"/>
      <c r="EC292" s="84"/>
      <c r="EG292" s="84"/>
      <c r="EK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128"/>
      <c r="AA293" s="129"/>
      <c r="AC293" s="130"/>
      <c r="AD293" s="128"/>
      <c r="AE293" s="129"/>
      <c r="AG293" s="130"/>
      <c r="AH293" s="128"/>
      <c r="AI293" s="129"/>
      <c r="AK293" s="130"/>
      <c r="AL293" s="128"/>
      <c r="AM293" s="129"/>
      <c r="AO293" s="130"/>
      <c r="AP293" s="128"/>
      <c r="AQ293" s="129"/>
      <c r="AS293" s="130"/>
      <c r="AT293" s="128"/>
      <c r="AU293" s="129"/>
      <c r="AW293" s="130"/>
      <c r="AX293" s="85"/>
      <c r="AY293" s="84"/>
      <c r="AZ293" s="84"/>
      <c r="BA293" s="131"/>
      <c r="BB293" s="84"/>
      <c r="BE293" s="84"/>
      <c r="BI293" s="86"/>
      <c r="BO293" s="84"/>
      <c r="BT293" s="84"/>
      <c r="BY293" s="84"/>
      <c r="CD293" s="84"/>
      <c r="CI293" s="128"/>
      <c r="CJ293" s="129"/>
      <c r="CL293" s="132"/>
      <c r="CM293" s="128"/>
      <c r="CN293" s="129"/>
      <c r="CP293" s="132"/>
      <c r="CQ293" s="128"/>
      <c r="CR293" s="129"/>
      <c r="CT293" s="132"/>
      <c r="CU293" s="128"/>
      <c r="CV293" s="129"/>
      <c r="CX293" s="132"/>
      <c r="CY293" s="128"/>
      <c r="CZ293" s="129"/>
      <c r="DB293" s="132"/>
      <c r="DC293" s="128"/>
      <c r="DD293" s="129"/>
      <c r="DF293" s="132"/>
      <c r="DG293" s="85"/>
      <c r="DH293" s="85"/>
      <c r="DI293" s="84"/>
      <c r="DK293" s="84"/>
      <c r="DP293" s="84"/>
      <c r="DU293" s="84"/>
      <c r="DY293" s="84"/>
      <c r="EC293" s="84"/>
      <c r="EG293" s="84"/>
      <c r="EK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128"/>
      <c r="AA294" s="129"/>
      <c r="AC294" s="130"/>
      <c r="AD294" s="128"/>
      <c r="AE294" s="129"/>
      <c r="AG294" s="130"/>
      <c r="AH294" s="128"/>
      <c r="AI294" s="129"/>
      <c r="AK294" s="130"/>
      <c r="AL294" s="128"/>
      <c r="AM294" s="129"/>
      <c r="AO294" s="130"/>
      <c r="AP294" s="128"/>
      <c r="AQ294" s="129"/>
      <c r="AS294" s="130"/>
      <c r="AT294" s="128"/>
      <c r="AU294" s="129"/>
      <c r="AW294" s="130"/>
      <c r="AX294" s="85"/>
      <c r="AY294" s="84"/>
      <c r="AZ294" s="84"/>
      <c r="BA294" s="131"/>
      <c r="BB294" s="84"/>
      <c r="BE294" s="84"/>
      <c r="BI294" s="86"/>
      <c r="BO294" s="84"/>
      <c r="BT294" s="84"/>
      <c r="BY294" s="84"/>
      <c r="CD294" s="84"/>
      <c r="CI294" s="128"/>
      <c r="CJ294" s="129"/>
      <c r="CL294" s="132"/>
      <c r="CM294" s="128"/>
      <c r="CN294" s="129"/>
      <c r="CP294" s="132"/>
      <c r="CQ294" s="128"/>
      <c r="CR294" s="129"/>
      <c r="CT294" s="132"/>
      <c r="CU294" s="128"/>
      <c r="CV294" s="129"/>
      <c r="CX294" s="132"/>
      <c r="CY294" s="128"/>
      <c r="CZ294" s="129"/>
      <c r="DB294" s="132"/>
      <c r="DC294" s="128"/>
      <c r="DD294" s="129"/>
      <c r="DF294" s="132"/>
      <c r="DG294" s="85"/>
      <c r="DH294" s="85"/>
      <c r="DI294" s="84"/>
      <c r="DK294" s="84"/>
      <c r="DP294" s="84"/>
      <c r="DU294" s="84"/>
      <c r="DY294" s="84"/>
      <c r="EC294" s="84"/>
      <c r="EG294" s="84"/>
      <c r="EK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128"/>
      <c r="AA295" s="129"/>
      <c r="AC295" s="130"/>
      <c r="AD295" s="128"/>
      <c r="AE295" s="129"/>
      <c r="AG295" s="130"/>
      <c r="AH295" s="128"/>
      <c r="AI295" s="129"/>
      <c r="AK295" s="130"/>
      <c r="AL295" s="128"/>
      <c r="AM295" s="129"/>
      <c r="AO295" s="130"/>
      <c r="AP295" s="128"/>
      <c r="AQ295" s="129"/>
      <c r="AS295" s="130"/>
      <c r="AT295" s="128"/>
      <c r="AU295" s="129"/>
      <c r="AW295" s="130"/>
      <c r="AX295" s="85"/>
      <c r="AY295" s="84"/>
      <c r="AZ295" s="84"/>
      <c r="BA295" s="131"/>
      <c r="BB295" s="84"/>
      <c r="BE295" s="84"/>
      <c r="BI295" s="86"/>
      <c r="BO295" s="84"/>
      <c r="BT295" s="84"/>
      <c r="BY295" s="84"/>
      <c r="CD295" s="84"/>
      <c r="CI295" s="128"/>
      <c r="CJ295" s="129"/>
      <c r="CL295" s="132"/>
      <c r="CM295" s="128"/>
      <c r="CN295" s="129"/>
      <c r="CP295" s="132"/>
      <c r="CQ295" s="128"/>
      <c r="CR295" s="129"/>
      <c r="CT295" s="132"/>
      <c r="CU295" s="128"/>
      <c r="CV295" s="129"/>
      <c r="CX295" s="132"/>
      <c r="CY295" s="128"/>
      <c r="CZ295" s="129"/>
      <c r="DB295" s="132"/>
      <c r="DC295" s="128"/>
      <c r="DD295" s="129"/>
      <c r="DF295" s="132"/>
      <c r="DG295" s="85"/>
      <c r="DH295" s="85"/>
      <c r="DI295" s="84"/>
      <c r="DK295" s="84"/>
      <c r="DP295" s="84"/>
      <c r="DU295" s="84"/>
      <c r="DY295" s="84"/>
      <c r="EC295" s="84"/>
      <c r="EG295" s="84"/>
      <c r="EK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128"/>
      <c r="AA296" s="129"/>
      <c r="AC296" s="130"/>
      <c r="AD296" s="128"/>
      <c r="AE296" s="129"/>
      <c r="AG296" s="130"/>
      <c r="AH296" s="128"/>
      <c r="AI296" s="129"/>
      <c r="AK296" s="130"/>
      <c r="AL296" s="128"/>
      <c r="AM296" s="129"/>
      <c r="AO296" s="130"/>
      <c r="AP296" s="128"/>
      <c r="AQ296" s="129"/>
      <c r="AS296" s="130"/>
      <c r="AT296" s="128"/>
      <c r="AU296" s="129"/>
      <c r="AW296" s="130"/>
      <c r="AX296" s="85"/>
      <c r="AY296" s="84"/>
      <c r="AZ296" s="84"/>
      <c r="BA296" s="131"/>
      <c r="BB296" s="84"/>
      <c r="BE296" s="84"/>
      <c r="BI296" s="86"/>
      <c r="BO296" s="84"/>
      <c r="BT296" s="84"/>
      <c r="BY296" s="84"/>
      <c r="CD296" s="84"/>
      <c r="CI296" s="128"/>
      <c r="CJ296" s="129"/>
      <c r="CL296" s="132"/>
      <c r="CM296" s="128"/>
      <c r="CN296" s="129"/>
      <c r="CP296" s="132"/>
      <c r="CQ296" s="128"/>
      <c r="CR296" s="129"/>
      <c r="CT296" s="132"/>
      <c r="CU296" s="128"/>
      <c r="CV296" s="129"/>
      <c r="CX296" s="132"/>
      <c r="CY296" s="128"/>
      <c r="CZ296" s="129"/>
      <c r="DB296" s="132"/>
      <c r="DC296" s="128"/>
      <c r="DD296" s="129"/>
      <c r="DF296" s="132"/>
      <c r="DG296" s="85"/>
      <c r="DH296" s="85"/>
      <c r="DI296" s="84"/>
      <c r="DK296" s="84"/>
      <c r="DP296" s="84"/>
      <c r="DU296" s="84"/>
      <c r="DY296" s="84"/>
      <c r="EC296" s="84"/>
      <c r="EG296" s="84"/>
      <c r="EK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128"/>
      <c r="AA297" s="129"/>
      <c r="AC297" s="130"/>
      <c r="AD297" s="128"/>
      <c r="AE297" s="129"/>
      <c r="AG297" s="130"/>
      <c r="AH297" s="128"/>
      <c r="AI297" s="129"/>
      <c r="AK297" s="130"/>
      <c r="AL297" s="128"/>
      <c r="AM297" s="129"/>
      <c r="AO297" s="130"/>
      <c r="AP297" s="128"/>
      <c r="AQ297" s="129"/>
      <c r="AS297" s="130"/>
      <c r="AT297" s="128"/>
      <c r="AU297" s="129"/>
      <c r="AW297" s="130"/>
      <c r="AX297" s="85"/>
      <c r="AY297" s="84"/>
      <c r="AZ297" s="84"/>
      <c r="BA297" s="131"/>
      <c r="BB297" s="84"/>
      <c r="BE297" s="84"/>
      <c r="BI297" s="86"/>
      <c r="BO297" s="84"/>
      <c r="BT297" s="84"/>
      <c r="BY297" s="84"/>
      <c r="CD297" s="84"/>
      <c r="CI297" s="128"/>
      <c r="CJ297" s="129"/>
      <c r="CL297" s="132"/>
      <c r="CM297" s="128"/>
      <c r="CN297" s="129"/>
      <c r="CP297" s="132"/>
      <c r="CQ297" s="128"/>
      <c r="CR297" s="129"/>
      <c r="CT297" s="132"/>
      <c r="CU297" s="128"/>
      <c r="CV297" s="129"/>
      <c r="CX297" s="132"/>
      <c r="CY297" s="128"/>
      <c r="CZ297" s="129"/>
      <c r="DB297" s="132"/>
      <c r="DC297" s="128"/>
      <c r="DD297" s="129"/>
      <c r="DF297" s="132"/>
      <c r="DG297" s="85"/>
      <c r="DH297" s="85"/>
      <c r="DI297" s="84"/>
      <c r="DK297" s="84"/>
      <c r="DP297" s="84"/>
      <c r="DU297" s="84"/>
      <c r="DY297" s="84"/>
      <c r="EC297" s="84"/>
      <c r="EG297" s="84"/>
      <c r="EK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128"/>
      <c r="AA298" s="129"/>
      <c r="AC298" s="130"/>
      <c r="AD298" s="128"/>
      <c r="AE298" s="129"/>
      <c r="AG298" s="130"/>
      <c r="AH298" s="128"/>
      <c r="AI298" s="129"/>
      <c r="AK298" s="130"/>
      <c r="AL298" s="128"/>
      <c r="AM298" s="129"/>
      <c r="AO298" s="130"/>
      <c r="AP298" s="128"/>
      <c r="AQ298" s="129"/>
      <c r="AS298" s="130"/>
      <c r="AT298" s="128"/>
      <c r="AU298" s="129"/>
      <c r="AW298" s="130"/>
      <c r="AX298" s="85"/>
      <c r="AY298" s="84"/>
      <c r="AZ298" s="84"/>
      <c r="BA298" s="131"/>
      <c r="BB298" s="84"/>
      <c r="BE298" s="84"/>
      <c r="BI298" s="86"/>
      <c r="BO298" s="84"/>
      <c r="BT298" s="84"/>
      <c r="BY298" s="84"/>
      <c r="CD298" s="84"/>
      <c r="CI298" s="128"/>
      <c r="CJ298" s="129"/>
      <c r="CL298" s="132"/>
      <c r="CM298" s="128"/>
      <c r="CN298" s="129"/>
      <c r="CP298" s="132"/>
      <c r="CQ298" s="128"/>
      <c r="CR298" s="129"/>
      <c r="CT298" s="132"/>
      <c r="CU298" s="128"/>
      <c r="CV298" s="129"/>
      <c r="CX298" s="132"/>
      <c r="CY298" s="128"/>
      <c r="CZ298" s="129"/>
      <c r="DB298" s="132"/>
      <c r="DC298" s="128"/>
      <c r="DD298" s="129"/>
      <c r="DF298" s="132"/>
      <c r="DG298" s="85"/>
      <c r="DH298" s="85"/>
      <c r="DI298" s="84"/>
      <c r="DK298" s="84"/>
      <c r="DP298" s="84"/>
      <c r="DU298" s="84"/>
      <c r="DY298" s="84"/>
      <c r="EC298" s="84"/>
      <c r="EG298" s="84"/>
      <c r="EK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128"/>
      <c r="AA299" s="129"/>
      <c r="AC299" s="130"/>
      <c r="AD299" s="128"/>
      <c r="AE299" s="129"/>
      <c r="AG299" s="130"/>
      <c r="AH299" s="128"/>
      <c r="AI299" s="129"/>
      <c r="AK299" s="130"/>
      <c r="AL299" s="128"/>
      <c r="AM299" s="129"/>
      <c r="AO299" s="130"/>
      <c r="AP299" s="128"/>
      <c r="AQ299" s="129"/>
      <c r="AS299" s="130"/>
      <c r="AT299" s="128"/>
      <c r="AU299" s="129"/>
      <c r="AW299" s="130"/>
      <c r="AX299" s="85"/>
      <c r="AY299" s="84"/>
      <c r="AZ299" s="84"/>
      <c r="BA299" s="131"/>
      <c r="BB299" s="84"/>
      <c r="BE299" s="84"/>
      <c r="BI299" s="86"/>
      <c r="BO299" s="84"/>
      <c r="BT299" s="84"/>
      <c r="BY299" s="84"/>
      <c r="CD299" s="84"/>
      <c r="CI299" s="128"/>
      <c r="CJ299" s="129"/>
      <c r="CL299" s="132"/>
      <c r="CM299" s="128"/>
      <c r="CN299" s="129"/>
      <c r="CP299" s="132"/>
      <c r="CQ299" s="128"/>
      <c r="CR299" s="129"/>
      <c r="CT299" s="132"/>
      <c r="CU299" s="128"/>
      <c r="CV299" s="129"/>
      <c r="CX299" s="132"/>
      <c r="CY299" s="128"/>
      <c r="CZ299" s="129"/>
      <c r="DB299" s="132"/>
      <c r="DC299" s="128"/>
      <c r="DD299" s="129"/>
      <c r="DF299" s="132"/>
      <c r="DG299" s="85"/>
      <c r="DH299" s="85"/>
      <c r="DI299" s="84"/>
      <c r="DK299" s="84"/>
      <c r="DP299" s="84"/>
      <c r="DU299" s="84"/>
      <c r="DY299" s="84"/>
      <c r="EC299" s="84"/>
      <c r="EG299" s="84"/>
      <c r="EK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128"/>
      <c r="AA300" s="129"/>
      <c r="AC300" s="130"/>
      <c r="AD300" s="128"/>
      <c r="AE300" s="129"/>
      <c r="AG300" s="130"/>
      <c r="AH300" s="128"/>
      <c r="AI300" s="129"/>
      <c r="AK300" s="130"/>
      <c r="AL300" s="128"/>
      <c r="AM300" s="129"/>
      <c r="AO300" s="130"/>
      <c r="AP300" s="128"/>
      <c r="AQ300" s="129"/>
      <c r="AS300" s="130"/>
      <c r="AT300" s="128"/>
      <c r="AU300" s="129"/>
      <c r="AW300" s="130"/>
      <c r="AX300" s="85"/>
      <c r="AY300" s="84"/>
      <c r="AZ300" s="84"/>
      <c r="BA300" s="131"/>
      <c r="BB300" s="84"/>
      <c r="BE300" s="84"/>
      <c r="BI300" s="86"/>
      <c r="BO300" s="84"/>
      <c r="BT300" s="84"/>
      <c r="BY300" s="84"/>
      <c r="CD300" s="84"/>
      <c r="CI300" s="128"/>
      <c r="CJ300" s="129"/>
      <c r="CL300" s="132"/>
      <c r="CM300" s="128"/>
      <c r="CN300" s="129"/>
      <c r="CP300" s="132"/>
      <c r="CQ300" s="128"/>
      <c r="CR300" s="129"/>
      <c r="CT300" s="132"/>
      <c r="CU300" s="128"/>
      <c r="CV300" s="129"/>
      <c r="CX300" s="132"/>
      <c r="CY300" s="128"/>
      <c r="CZ300" s="129"/>
      <c r="DB300" s="132"/>
      <c r="DC300" s="128"/>
      <c r="DD300" s="129"/>
      <c r="DF300" s="132"/>
      <c r="DG300" s="85"/>
      <c r="DH300" s="85"/>
      <c r="DI300" s="84"/>
      <c r="DK300" s="84"/>
      <c r="DP300" s="84"/>
      <c r="DU300" s="84"/>
      <c r="DY300" s="84"/>
      <c r="EC300" s="84"/>
      <c r="EG300" s="84"/>
      <c r="EK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128"/>
      <c r="AA301" s="129"/>
      <c r="AC301" s="130"/>
      <c r="AD301" s="128"/>
      <c r="AE301" s="129"/>
      <c r="AG301" s="130"/>
      <c r="AH301" s="128"/>
      <c r="AI301" s="129"/>
      <c r="AK301" s="130"/>
      <c r="AL301" s="128"/>
      <c r="AM301" s="129"/>
      <c r="AO301" s="130"/>
      <c r="AP301" s="128"/>
      <c r="AQ301" s="129"/>
      <c r="AS301" s="130"/>
      <c r="AT301" s="128"/>
      <c r="AU301" s="129"/>
      <c r="AW301" s="130"/>
      <c r="AX301" s="85"/>
      <c r="AY301" s="84"/>
      <c r="AZ301" s="84"/>
      <c r="BA301" s="131"/>
      <c r="BB301" s="84"/>
      <c r="BE301" s="84"/>
      <c r="BI301" s="86"/>
      <c r="BO301" s="84"/>
      <c r="BT301" s="84"/>
      <c r="BY301" s="84"/>
      <c r="CD301" s="84"/>
      <c r="CI301" s="128"/>
      <c r="CJ301" s="129"/>
      <c r="CL301" s="132"/>
      <c r="CM301" s="128"/>
      <c r="CN301" s="129"/>
      <c r="CP301" s="132"/>
      <c r="CQ301" s="128"/>
      <c r="CR301" s="129"/>
      <c r="CT301" s="132"/>
      <c r="CU301" s="128"/>
      <c r="CV301" s="129"/>
      <c r="CX301" s="132"/>
      <c r="CY301" s="128"/>
      <c r="CZ301" s="129"/>
      <c r="DB301" s="132"/>
      <c r="DC301" s="128"/>
      <c r="DD301" s="129"/>
      <c r="DF301" s="132"/>
      <c r="DG301" s="85"/>
      <c r="DH301" s="85"/>
      <c r="DI301" s="84"/>
      <c r="DK301" s="84"/>
      <c r="DP301" s="84"/>
      <c r="DU301" s="84"/>
      <c r="DY301" s="84"/>
      <c r="EC301" s="84"/>
      <c r="EG301" s="84"/>
      <c r="EK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128"/>
      <c r="AA302" s="129"/>
      <c r="AC302" s="130"/>
      <c r="AD302" s="128"/>
      <c r="AE302" s="129"/>
      <c r="AG302" s="130"/>
      <c r="AH302" s="128"/>
      <c r="AI302" s="129"/>
      <c r="AK302" s="130"/>
      <c r="AL302" s="128"/>
      <c r="AM302" s="129"/>
      <c r="AO302" s="130"/>
      <c r="AP302" s="128"/>
      <c r="AQ302" s="129"/>
      <c r="AS302" s="130"/>
      <c r="AT302" s="128"/>
      <c r="AU302" s="129"/>
      <c r="AW302" s="130"/>
      <c r="AX302" s="85"/>
      <c r="AY302" s="84"/>
      <c r="AZ302" s="84"/>
      <c r="BA302" s="131"/>
      <c r="BB302" s="84"/>
      <c r="BE302" s="84"/>
      <c r="BI302" s="86"/>
      <c r="BO302" s="84"/>
      <c r="BT302" s="84"/>
      <c r="BY302" s="84"/>
      <c r="CD302" s="84"/>
      <c r="CI302" s="128"/>
      <c r="CJ302" s="129"/>
      <c r="CL302" s="132"/>
      <c r="CM302" s="128"/>
      <c r="CN302" s="129"/>
      <c r="CP302" s="132"/>
      <c r="CQ302" s="128"/>
      <c r="CR302" s="129"/>
      <c r="CT302" s="132"/>
      <c r="CU302" s="128"/>
      <c r="CV302" s="129"/>
      <c r="CX302" s="132"/>
      <c r="CY302" s="128"/>
      <c r="CZ302" s="129"/>
      <c r="DB302" s="132"/>
      <c r="DC302" s="128"/>
      <c r="DD302" s="129"/>
      <c r="DF302" s="132"/>
      <c r="DG302" s="85"/>
      <c r="DH302" s="85"/>
      <c r="DI302" s="84"/>
      <c r="DK302" s="84"/>
      <c r="DP302" s="84"/>
      <c r="DU302" s="84"/>
      <c r="DY302" s="84"/>
      <c r="EC302" s="84"/>
      <c r="EG302" s="84"/>
      <c r="EK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128"/>
      <c r="AA303" s="129"/>
      <c r="AC303" s="130"/>
      <c r="AD303" s="128"/>
      <c r="AE303" s="129"/>
      <c r="AG303" s="130"/>
      <c r="AH303" s="128"/>
      <c r="AI303" s="129"/>
      <c r="AK303" s="130"/>
      <c r="AL303" s="128"/>
      <c r="AM303" s="129"/>
      <c r="AO303" s="130"/>
      <c r="AP303" s="128"/>
      <c r="AQ303" s="129"/>
      <c r="AS303" s="130"/>
      <c r="AT303" s="128"/>
      <c r="AU303" s="129"/>
      <c r="AW303" s="130"/>
      <c r="AX303" s="85"/>
      <c r="AY303" s="84"/>
      <c r="AZ303" s="84"/>
      <c r="BA303" s="131"/>
      <c r="BB303" s="84"/>
      <c r="BE303" s="84"/>
      <c r="BI303" s="86"/>
      <c r="BO303" s="84"/>
      <c r="BT303" s="84"/>
      <c r="BY303" s="84"/>
      <c r="CD303" s="84"/>
      <c r="CI303" s="128"/>
      <c r="CJ303" s="129"/>
      <c r="CL303" s="132"/>
      <c r="CM303" s="128"/>
      <c r="CN303" s="129"/>
      <c r="CP303" s="132"/>
      <c r="CQ303" s="128"/>
      <c r="CR303" s="129"/>
      <c r="CT303" s="132"/>
      <c r="CU303" s="128"/>
      <c r="CV303" s="129"/>
      <c r="CX303" s="132"/>
      <c r="CY303" s="128"/>
      <c r="CZ303" s="129"/>
      <c r="DB303" s="132"/>
      <c r="DC303" s="128"/>
      <c r="DD303" s="129"/>
      <c r="DF303" s="132"/>
      <c r="DG303" s="85"/>
      <c r="DH303" s="85"/>
      <c r="DI303" s="84"/>
      <c r="DK303" s="84"/>
      <c r="DP303" s="84"/>
      <c r="DU303" s="84"/>
      <c r="DY303" s="84"/>
      <c r="EC303" s="84"/>
      <c r="EG303" s="84"/>
      <c r="EK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128"/>
      <c r="AA304" s="129"/>
      <c r="AC304" s="130"/>
      <c r="AD304" s="128"/>
      <c r="AE304" s="129"/>
      <c r="AG304" s="130"/>
      <c r="AH304" s="128"/>
      <c r="AI304" s="129"/>
      <c r="AK304" s="130"/>
      <c r="AL304" s="128"/>
      <c r="AM304" s="129"/>
      <c r="AO304" s="130"/>
      <c r="AP304" s="128"/>
      <c r="AQ304" s="129"/>
      <c r="AS304" s="130"/>
      <c r="AT304" s="128"/>
      <c r="AU304" s="129"/>
      <c r="AW304" s="130"/>
      <c r="AX304" s="85"/>
      <c r="AY304" s="84"/>
      <c r="AZ304" s="84"/>
      <c r="BA304" s="131"/>
      <c r="BB304" s="84"/>
      <c r="BE304" s="84"/>
      <c r="BI304" s="86"/>
      <c r="BO304" s="84"/>
      <c r="BT304" s="84"/>
      <c r="BY304" s="84"/>
      <c r="CD304" s="84"/>
      <c r="CI304" s="128"/>
      <c r="CJ304" s="129"/>
      <c r="CL304" s="132"/>
      <c r="CM304" s="128"/>
      <c r="CN304" s="129"/>
      <c r="CP304" s="132"/>
      <c r="CQ304" s="128"/>
      <c r="CR304" s="129"/>
      <c r="CT304" s="132"/>
      <c r="CU304" s="128"/>
      <c r="CV304" s="129"/>
      <c r="CX304" s="132"/>
      <c r="CY304" s="128"/>
      <c r="CZ304" s="129"/>
      <c r="DB304" s="132"/>
      <c r="DC304" s="128"/>
      <c r="DD304" s="129"/>
      <c r="DF304" s="132"/>
      <c r="DG304" s="85"/>
      <c r="DH304" s="85"/>
      <c r="DI304" s="84"/>
      <c r="DK304" s="84"/>
      <c r="DP304" s="84"/>
      <c r="DU304" s="84"/>
      <c r="DY304" s="84"/>
      <c r="EC304" s="84"/>
      <c r="EG304" s="84"/>
      <c r="EK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128"/>
      <c r="AA305" s="129"/>
      <c r="AC305" s="130"/>
      <c r="AD305" s="128"/>
      <c r="AE305" s="129"/>
      <c r="AG305" s="130"/>
      <c r="AH305" s="128"/>
      <c r="AI305" s="129"/>
      <c r="AK305" s="130"/>
      <c r="AL305" s="128"/>
      <c r="AM305" s="129"/>
      <c r="AO305" s="130"/>
      <c r="AP305" s="128"/>
      <c r="AQ305" s="129"/>
      <c r="AS305" s="130"/>
      <c r="AT305" s="128"/>
      <c r="AU305" s="129"/>
      <c r="AW305" s="130"/>
      <c r="AX305" s="85"/>
      <c r="AY305" s="84"/>
      <c r="AZ305" s="84"/>
      <c r="BA305" s="131"/>
      <c r="BB305" s="84"/>
      <c r="BE305" s="84"/>
      <c r="BI305" s="86"/>
      <c r="BO305" s="84"/>
      <c r="BT305" s="84"/>
      <c r="BY305" s="84"/>
      <c r="CD305" s="84"/>
      <c r="CI305" s="128"/>
      <c r="CJ305" s="129"/>
      <c r="CL305" s="132"/>
      <c r="CM305" s="128"/>
      <c r="CN305" s="129"/>
      <c r="CP305" s="132"/>
      <c r="CQ305" s="128"/>
      <c r="CR305" s="129"/>
      <c r="CT305" s="132"/>
      <c r="CU305" s="128"/>
      <c r="CV305" s="129"/>
      <c r="CX305" s="132"/>
      <c r="CY305" s="128"/>
      <c r="CZ305" s="129"/>
      <c r="DB305" s="132"/>
      <c r="DC305" s="128"/>
      <c r="DD305" s="129"/>
      <c r="DF305" s="132"/>
      <c r="DG305" s="85"/>
      <c r="DH305" s="85"/>
      <c r="DI305" s="84"/>
      <c r="DK305" s="84"/>
      <c r="DP305" s="84"/>
      <c r="DU305" s="84"/>
      <c r="DY305" s="84"/>
      <c r="EC305" s="84"/>
      <c r="EG305" s="84"/>
      <c r="EK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128"/>
      <c r="AA306" s="129"/>
      <c r="AC306" s="130"/>
      <c r="AD306" s="128"/>
      <c r="AE306" s="129"/>
      <c r="AG306" s="130"/>
      <c r="AH306" s="128"/>
      <c r="AI306" s="129"/>
      <c r="AK306" s="130"/>
      <c r="AL306" s="128"/>
      <c r="AM306" s="129"/>
      <c r="AO306" s="130"/>
      <c r="AP306" s="128"/>
      <c r="AQ306" s="129"/>
      <c r="AS306" s="130"/>
      <c r="AT306" s="128"/>
      <c r="AU306" s="129"/>
      <c r="AW306" s="130"/>
      <c r="AX306" s="85"/>
      <c r="AY306" s="84"/>
      <c r="AZ306" s="84"/>
      <c r="BA306" s="131"/>
      <c r="BB306" s="84"/>
      <c r="BE306" s="84"/>
      <c r="BI306" s="86"/>
      <c r="BO306" s="84"/>
      <c r="BT306" s="84"/>
      <c r="BY306" s="84"/>
      <c r="CD306" s="84"/>
      <c r="CI306" s="128"/>
      <c r="CJ306" s="129"/>
      <c r="CL306" s="132"/>
      <c r="CM306" s="128"/>
      <c r="CN306" s="129"/>
      <c r="CP306" s="132"/>
      <c r="CQ306" s="128"/>
      <c r="CR306" s="129"/>
      <c r="CT306" s="132"/>
      <c r="CU306" s="128"/>
      <c r="CV306" s="129"/>
      <c r="CX306" s="132"/>
      <c r="CY306" s="128"/>
      <c r="CZ306" s="129"/>
      <c r="DB306" s="132"/>
      <c r="DC306" s="128"/>
      <c r="DD306" s="129"/>
      <c r="DF306" s="132"/>
      <c r="DG306" s="85"/>
      <c r="DH306" s="85"/>
      <c r="DI306" s="84"/>
      <c r="DK306" s="84"/>
      <c r="DP306" s="84"/>
      <c r="DU306" s="84"/>
      <c r="DY306" s="84"/>
      <c r="EC306" s="84"/>
      <c r="EG306" s="84"/>
      <c r="EK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128"/>
      <c r="AA307" s="129"/>
      <c r="AC307" s="130"/>
      <c r="AD307" s="128"/>
      <c r="AE307" s="129"/>
      <c r="AG307" s="130"/>
      <c r="AH307" s="128"/>
      <c r="AI307" s="129"/>
      <c r="AK307" s="130"/>
      <c r="AL307" s="128"/>
      <c r="AM307" s="129"/>
      <c r="AO307" s="130"/>
      <c r="AP307" s="128"/>
      <c r="AQ307" s="129"/>
      <c r="AS307" s="130"/>
      <c r="AT307" s="128"/>
      <c r="AU307" s="129"/>
      <c r="AW307" s="130"/>
      <c r="AX307" s="85"/>
      <c r="AY307" s="84"/>
      <c r="AZ307" s="84"/>
      <c r="BA307" s="131"/>
      <c r="BB307" s="84"/>
      <c r="BE307" s="84"/>
      <c r="BI307" s="86"/>
      <c r="BO307" s="84"/>
      <c r="BT307" s="84"/>
      <c r="BY307" s="84"/>
      <c r="CD307" s="84"/>
      <c r="CI307" s="128"/>
      <c r="CJ307" s="129"/>
      <c r="CL307" s="132"/>
      <c r="CM307" s="128"/>
      <c r="CN307" s="129"/>
      <c r="CP307" s="132"/>
      <c r="CQ307" s="128"/>
      <c r="CR307" s="129"/>
      <c r="CT307" s="132"/>
      <c r="CU307" s="128"/>
      <c r="CV307" s="129"/>
      <c r="CX307" s="132"/>
      <c r="CY307" s="128"/>
      <c r="CZ307" s="129"/>
      <c r="DB307" s="132"/>
      <c r="DC307" s="128"/>
      <c r="DD307" s="129"/>
      <c r="DF307" s="132"/>
      <c r="DG307" s="85"/>
      <c r="DH307" s="85"/>
      <c r="DI307" s="84"/>
      <c r="DK307" s="84"/>
      <c r="DP307" s="84"/>
      <c r="DU307" s="84"/>
      <c r="DY307" s="84"/>
      <c r="EC307" s="84"/>
      <c r="EG307" s="84"/>
      <c r="EK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128"/>
      <c r="AA308" s="129"/>
      <c r="AC308" s="130"/>
      <c r="AD308" s="128"/>
      <c r="AE308" s="129"/>
      <c r="AG308" s="130"/>
      <c r="AH308" s="128"/>
      <c r="AI308" s="129"/>
      <c r="AK308" s="130"/>
      <c r="AL308" s="128"/>
      <c r="AM308" s="129"/>
      <c r="AO308" s="130"/>
      <c r="AP308" s="128"/>
      <c r="AQ308" s="129"/>
      <c r="AS308" s="130"/>
      <c r="AT308" s="128"/>
      <c r="AU308" s="129"/>
      <c r="AW308" s="130"/>
      <c r="AX308" s="85"/>
      <c r="AY308" s="84"/>
      <c r="AZ308" s="84"/>
      <c r="BA308" s="131"/>
      <c r="BB308" s="84"/>
      <c r="BE308" s="84"/>
      <c r="BI308" s="86"/>
      <c r="BO308" s="84"/>
      <c r="BT308" s="84"/>
      <c r="BY308" s="84"/>
      <c r="CD308" s="84"/>
      <c r="CI308" s="128"/>
      <c r="CJ308" s="129"/>
      <c r="CL308" s="132"/>
      <c r="CM308" s="128"/>
      <c r="CN308" s="129"/>
      <c r="CP308" s="132"/>
      <c r="CQ308" s="128"/>
      <c r="CR308" s="129"/>
      <c r="CT308" s="132"/>
      <c r="CU308" s="128"/>
      <c r="CV308" s="129"/>
      <c r="CX308" s="132"/>
      <c r="CY308" s="128"/>
      <c r="CZ308" s="129"/>
      <c r="DB308" s="132"/>
      <c r="DC308" s="128"/>
      <c r="DD308" s="129"/>
      <c r="DF308" s="132"/>
      <c r="DG308" s="85"/>
      <c r="DH308" s="85"/>
      <c r="DI308" s="84"/>
      <c r="DK308" s="84"/>
      <c r="DP308" s="84"/>
      <c r="DU308" s="84"/>
      <c r="DY308" s="84"/>
      <c r="EC308" s="84"/>
      <c r="EG308" s="84"/>
      <c r="EK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128"/>
      <c r="AA309" s="129"/>
      <c r="AC309" s="130"/>
      <c r="AD309" s="128"/>
      <c r="AE309" s="129"/>
      <c r="AG309" s="130"/>
      <c r="AH309" s="128"/>
      <c r="AI309" s="129"/>
      <c r="AK309" s="130"/>
      <c r="AL309" s="128"/>
      <c r="AM309" s="129"/>
      <c r="AO309" s="130"/>
      <c r="AP309" s="128"/>
      <c r="AQ309" s="129"/>
      <c r="AS309" s="130"/>
      <c r="AT309" s="128"/>
      <c r="AU309" s="129"/>
      <c r="AW309" s="130"/>
      <c r="AX309" s="85"/>
      <c r="AY309" s="84"/>
      <c r="AZ309" s="84"/>
      <c r="BA309" s="131"/>
      <c r="BB309" s="84"/>
      <c r="BE309" s="84"/>
      <c r="BI309" s="86"/>
      <c r="BO309" s="84"/>
      <c r="BT309" s="84"/>
      <c r="BY309" s="84"/>
      <c r="CD309" s="84"/>
      <c r="CI309" s="128"/>
      <c r="CJ309" s="129"/>
      <c r="CL309" s="132"/>
      <c r="CM309" s="128"/>
      <c r="CN309" s="129"/>
      <c r="CP309" s="132"/>
      <c r="CQ309" s="128"/>
      <c r="CR309" s="129"/>
      <c r="CT309" s="132"/>
      <c r="CU309" s="128"/>
      <c r="CV309" s="129"/>
      <c r="CX309" s="132"/>
      <c r="CY309" s="128"/>
      <c r="CZ309" s="129"/>
      <c r="DB309" s="132"/>
      <c r="DC309" s="128"/>
      <c r="DD309" s="129"/>
      <c r="DF309" s="132"/>
      <c r="DG309" s="85"/>
      <c r="DH309" s="85"/>
      <c r="DI309" s="84"/>
      <c r="DK309" s="84"/>
      <c r="DP309" s="84"/>
      <c r="DU309" s="84"/>
      <c r="DY309" s="84"/>
      <c r="EC309" s="84"/>
      <c r="EG309" s="84"/>
      <c r="EK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128"/>
      <c r="AA310" s="129"/>
      <c r="AC310" s="130"/>
      <c r="AD310" s="128"/>
      <c r="AE310" s="129"/>
      <c r="AG310" s="130"/>
      <c r="AH310" s="128"/>
      <c r="AI310" s="129"/>
      <c r="AK310" s="130"/>
      <c r="AL310" s="128"/>
      <c r="AM310" s="129"/>
      <c r="AO310" s="130"/>
      <c r="AP310" s="128"/>
      <c r="AQ310" s="129"/>
      <c r="AS310" s="130"/>
      <c r="AT310" s="128"/>
      <c r="AU310" s="129"/>
      <c r="AW310" s="130"/>
      <c r="AX310" s="85"/>
      <c r="AY310" s="84"/>
      <c r="AZ310" s="84"/>
      <c r="BA310" s="131"/>
      <c r="BB310" s="84"/>
      <c r="BE310" s="84"/>
      <c r="BI310" s="86"/>
      <c r="BO310" s="84"/>
      <c r="BT310" s="84"/>
      <c r="BY310" s="84"/>
      <c r="CD310" s="84"/>
      <c r="CI310" s="128"/>
      <c r="CJ310" s="129"/>
      <c r="CL310" s="132"/>
      <c r="CM310" s="128"/>
      <c r="CN310" s="129"/>
      <c r="CP310" s="132"/>
      <c r="CQ310" s="128"/>
      <c r="CR310" s="129"/>
      <c r="CT310" s="132"/>
      <c r="CU310" s="128"/>
      <c r="CV310" s="129"/>
      <c r="CX310" s="132"/>
      <c r="CY310" s="128"/>
      <c r="CZ310" s="129"/>
      <c r="DB310" s="132"/>
      <c r="DC310" s="128"/>
      <c r="DD310" s="129"/>
      <c r="DF310" s="132"/>
      <c r="DG310" s="85"/>
      <c r="DH310" s="85"/>
      <c r="DI310" s="84"/>
      <c r="DK310" s="84"/>
      <c r="DP310" s="84"/>
      <c r="DU310" s="84"/>
      <c r="DY310" s="84"/>
      <c r="EC310" s="84"/>
      <c r="EG310" s="84"/>
      <c r="EK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128"/>
      <c r="AA311" s="129"/>
      <c r="AC311" s="130"/>
      <c r="AD311" s="128"/>
      <c r="AE311" s="129"/>
      <c r="AG311" s="130"/>
      <c r="AH311" s="128"/>
      <c r="AI311" s="129"/>
      <c r="AK311" s="130"/>
      <c r="AL311" s="128"/>
      <c r="AM311" s="129"/>
      <c r="AO311" s="130"/>
      <c r="AP311" s="128"/>
      <c r="AQ311" s="129"/>
      <c r="AS311" s="130"/>
      <c r="AT311" s="128"/>
      <c r="AU311" s="129"/>
      <c r="AW311" s="130"/>
      <c r="AX311" s="85"/>
      <c r="AY311" s="84"/>
      <c r="AZ311" s="84"/>
      <c r="BA311" s="131"/>
      <c r="BB311" s="84"/>
      <c r="BE311" s="84"/>
      <c r="BI311" s="86"/>
      <c r="BO311" s="84"/>
      <c r="BT311" s="84"/>
      <c r="BY311" s="84"/>
      <c r="CD311" s="84"/>
      <c r="CI311" s="128"/>
      <c r="CJ311" s="129"/>
      <c r="CL311" s="132"/>
      <c r="CM311" s="128"/>
      <c r="CN311" s="129"/>
      <c r="CP311" s="132"/>
      <c r="CQ311" s="128"/>
      <c r="CR311" s="129"/>
      <c r="CT311" s="132"/>
      <c r="CU311" s="128"/>
      <c r="CV311" s="129"/>
      <c r="CX311" s="132"/>
      <c r="CY311" s="128"/>
      <c r="CZ311" s="129"/>
      <c r="DB311" s="132"/>
      <c r="DC311" s="128"/>
      <c r="DD311" s="129"/>
      <c r="DF311" s="132"/>
      <c r="DG311" s="85"/>
      <c r="DH311" s="85"/>
      <c r="DI311" s="84"/>
      <c r="DK311" s="84"/>
      <c r="DP311" s="84"/>
      <c r="DU311" s="84"/>
      <c r="DY311" s="84"/>
      <c r="EC311" s="84"/>
      <c r="EG311" s="84"/>
      <c r="EK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128"/>
      <c r="AA312" s="129"/>
      <c r="AC312" s="130"/>
      <c r="AD312" s="128"/>
      <c r="AE312" s="129"/>
      <c r="AG312" s="130"/>
      <c r="AH312" s="128"/>
      <c r="AI312" s="129"/>
      <c r="AK312" s="130"/>
      <c r="AL312" s="128"/>
      <c r="AM312" s="129"/>
      <c r="AO312" s="130"/>
      <c r="AP312" s="128"/>
      <c r="AQ312" s="129"/>
      <c r="AS312" s="130"/>
      <c r="AT312" s="128"/>
      <c r="AU312" s="129"/>
      <c r="AW312" s="130"/>
      <c r="AX312" s="85"/>
      <c r="AY312" s="84"/>
      <c r="AZ312" s="84"/>
      <c r="BA312" s="131"/>
      <c r="BB312" s="84"/>
      <c r="BE312" s="84"/>
      <c r="BI312" s="86"/>
      <c r="BO312" s="84"/>
      <c r="BT312" s="84"/>
      <c r="BY312" s="84"/>
      <c r="CD312" s="84"/>
      <c r="CI312" s="128"/>
      <c r="CJ312" s="129"/>
      <c r="CL312" s="132"/>
      <c r="CM312" s="128"/>
      <c r="CN312" s="129"/>
      <c r="CP312" s="132"/>
      <c r="CQ312" s="128"/>
      <c r="CR312" s="129"/>
      <c r="CT312" s="132"/>
      <c r="CU312" s="128"/>
      <c r="CV312" s="129"/>
      <c r="CX312" s="132"/>
      <c r="CY312" s="128"/>
      <c r="CZ312" s="129"/>
      <c r="DB312" s="132"/>
      <c r="DC312" s="128"/>
      <c r="DD312" s="129"/>
      <c r="DF312" s="132"/>
      <c r="DG312" s="85"/>
      <c r="DH312" s="85"/>
      <c r="DI312" s="84"/>
      <c r="DK312" s="84"/>
      <c r="DP312" s="84"/>
      <c r="DU312" s="84"/>
      <c r="DY312" s="84"/>
      <c r="EC312" s="84"/>
      <c r="EG312" s="84"/>
      <c r="EK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128"/>
      <c r="AA313" s="129"/>
      <c r="AC313" s="130"/>
      <c r="AD313" s="128"/>
      <c r="AE313" s="129"/>
      <c r="AG313" s="130"/>
      <c r="AH313" s="128"/>
      <c r="AI313" s="129"/>
      <c r="AK313" s="130"/>
      <c r="AL313" s="128"/>
      <c r="AM313" s="129"/>
      <c r="AO313" s="130"/>
      <c r="AP313" s="128"/>
      <c r="AQ313" s="129"/>
      <c r="AS313" s="130"/>
      <c r="AT313" s="128"/>
      <c r="AU313" s="129"/>
      <c r="AW313" s="130"/>
      <c r="AX313" s="85"/>
      <c r="AY313" s="84"/>
      <c r="AZ313" s="84"/>
      <c r="BA313" s="131"/>
      <c r="BB313" s="84"/>
      <c r="BE313" s="84"/>
      <c r="BI313" s="86"/>
      <c r="BO313" s="84"/>
      <c r="BT313" s="84"/>
      <c r="BY313" s="84"/>
      <c r="CD313" s="84"/>
      <c r="CI313" s="128"/>
      <c r="CJ313" s="129"/>
      <c r="CL313" s="132"/>
      <c r="CM313" s="128"/>
      <c r="CN313" s="129"/>
      <c r="CP313" s="132"/>
      <c r="CQ313" s="128"/>
      <c r="CR313" s="129"/>
      <c r="CT313" s="132"/>
      <c r="CU313" s="128"/>
      <c r="CV313" s="129"/>
      <c r="CX313" s="132"/>
      <c r="CY313" s="128"/>
      <c r="CZ313" s="129"/>
      <c r="DB313" s="132"/>
      <c r="DC313" s="128"/>
      <c r="DD313" s="129"/>
      <c r="DF313" s="132"/>
      <c r="DG313" s="85"/>
      <c r="DH313" s="85"/>
      <c r="DI313" s="84"/>
      <c r="DK313" s="84"/>
      <c r="DP313" s="84"/>
      <c r="DU313" s="84"/>
      <c r="DY313" s="84"/>
      <c r="EC313" s="84"/>
      <c r="EG313" s="84"/>
      <c r="EK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128"/>
      <c r="AA314" s="129"/>
      <c r="AC314" s="130"/>
      <c r="AD314" s="128"/>
      <c r="AE314" s="129"/>
      <c r="AG314" s="130"/>
      <c r="AH314" s="128"/>
      <c r="AI314" s="129"/>
      <c r="AK314" s="130"/>
      <c r="AL314" s="128"/>
      <c r="AM314" s="129"/>
      <c r="AO314" s="130"/>
      <c r="AP314" s="128"/>
      <c r="AQ314" s="129"/>
      <c r="AS314" s="130"/>
      <c r="AT314" s="128"/>
      <c r="AU314" s="129"/>
      <c r="AW314" s="130"/>
      <c r="AX314" s="85"/>
      <c r="AY314" s="84"/>
      <c r="AZ314" s="84"/>
      <c r="BA314" s="131"/>
      <c r="BB314" s="84"/>
      <c r="BE314" s="84"/>
      <c r="BI314" s="86"/>
      <c r="BO314" s="84"/>
      <c r="BT314" s="84"/>
      <c r="BY314" s="84"/>
      <c r="CD314" s="84"/>
      <c r="CI314" s="128"/>
      <c r="CJ314" s="129"/>
      <c r="CL314" s="132"/>
      <c r="CM314" s="128"/>
      <c r="CN314" s="129"/>
      <c r="CP314" s="132"/>
      <c r="CQ314" s="128"/>
      <c r="CR314" s="129"/>
      <c r="CT314" s="132"/>
      <c r="CU314" s="128"/>
      <c r="CV314" s="129"/>
      <c r="CX314" s="132"/>
      <c r="CY314" s="128"/>
      <c r="CZ314" s="129"/>
      <c r="DB314" s="132"/>
      <c r="DC314" s="128"/>
      <c r="DD314" s="129"/>
      <c r="DF314" s="132"/>
      <c r="DG314" s="85"/>
      <c r="DH314" s="85"/>
      <c r="DI314" s="84"/>
      <c r="DK314" s="84"/>
      <c r="DP314" s="84"/>
      <c r="DU314" s="84"/>
      <c r="DY314" s="84"/>
      <c r="EC314" s="84"/>
      <c r="EG314" s="84"/>
      <c r="EK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128"/>
      <c r="AA315" s="129"/>
      <c r="AC315" s="130"/>
      <c r="AD315" s="128"/>
      <c r="AE315" s="129"/>
      <c r="AG315" s="130"/>
      <c r="AH315" s="128"/>
      <c r="AI315" s="129"/>
      <c r="AK315" s="130"/>
      <c r="AL315" s="128"/>
      <c r="AM315" s="129"/>
      <c r="AO315" s="130"/>
      <c r="AP315" s="128"/>
      <c r="AQ315" s="129"/>
      <c r="AS315" s="130"/>
      <c r="AT315" s="128"/>
      <c r="AU315" s="129"/>
      <c r="AW315" s="130"/>
      <c r="AX315" s="85"/>
      <c r="AY315" s="84"/>
      <c r="AZ315" s="84"/>
      <c r="BA315" s="131"/>
      <c r="BB315" s="84"/>
      <c r="BE315" s="84"/>
      <c r="BI315" s="86"/>
      <c r="BO315" s="84"/>
      <c r="BT315" s="84"/>
      <c r="BY315" s="84"/>
      <c r="CD315" s="84"/>
      <c r="CI315" s="128"/>
      <c r="CJ315" s="129"/>
      <c r="CL315" s="132"/>
      <c r="CM315" s="128"/>
      <c r="CN315" s="129"/>
      <c r="CP315" s="132"/>
      <c r="CQ315" s="128"/>
      <c r="CR315" s="129"/>
      <c r="CT315" s="132"/>
      <c r="CU315" s="128"/>
      <c r="CV315" s="129"/>
      <c r="CX315" s="132"/>
      <c r="CY315" s="128"/>
      <c r="CZ315" s="129"/>
      <c r="DB315" s="132"/>
      <c r="DC315" s="128"/>
      <c r="DD315" s="129"/>
      <c r="DF315" s="132"/>
      <c r="DG315" s="85"/>
      <c r="DH315" s="85"/>
      <c r="DI315" s="84"/>
      <c r="DK315" s="84"/>
      <c r="DP315" s="84"/>
      <c r="DU315" s="84"/>
      <c r="DY315" s="84"/>
      <c r="EC315" s="84"/>
      <c r="EG315" s="84"/>
      <c r="EK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128"/>
      <c r="AA316" s="129"/>
      <c r="AC316" s="130"/>
      <c r="AD316" s="128"/>
      <c r="AE316" s="129"/>
      <c r="AG316" s="130"/>
      <c r="AH316" s="128"/>
      <c r="AI316" s="129"/>
      <c r="AK316" s="130"/>
      <c r="AL316" s="128"/>
      <c r="AM316" s="129"/>
      <c r="AO316" s="130"/>
      <c r="AP316" s="128"/>
      <c r="AQ316" s="129"/>
      <c r="AS316" s="130"/>
      <c r="AT316" s="128"/>
      <c r="AU316" s="129"/>
      <c r="AW316" s="130"/>
      <c r="AX316" s="85"/>
      <c r="AY316" s="84"/>
      <c r="AZ316" s="84"/>
      <c r="BA316" s="131"/>
      <c r="BB316" s="84"/>
      <c r="BE316" s="84"/>
      <c r="BI316" s="86"/>
      <c r="BO316" s="84"/>
      <c r="BT316" s="84"/>
      <c r="BY316" s="84"/>
      <c r="CD316" s="84"/>
      <c r="CI316" s="128"/>
      <c r="CJ316" s="129"/>
      <c r="CL316" s="132"/>
      <c r="CM316" s="128"/>
      <c r="CN316" s="129"/>
      <c r="CP316" s="132"/>
      <c r="CQ316" s="128"/>
      <c r="CR316" s="129"/>
      <c r="CT316" s="132"/>
      <c r="CU316" s="128"/>
      <c r="CV316" s="129"/>
      <c r="CX316" s="132"/>
      <c r="CY316" s="128"/>
      <c r="CZ316" s="129"/>
      <c r="DB316" s="132"/>
      <c r="DC316" s="128"/>
      <c r="DD316" s="129"/>
      <c r="DF316" s="132"/>
      <c r="DG316" s="85"/>
      <c r="DH316" s="85"/>
      <c r="DI316" s="84"/>
      <c r="DK316" s="84"/>
      <c r="DP316" s="84"/>
      <c r="DU316" s="84"/>
      <c r="DY316" s="84"/>
      <c r="EC316" s="84"/>
      <c r="EG316" s="84"/>
      <c r="EK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128"/>
      <c r="AA317" s="129"/>
      <c r="AC317" s="130"/>
      <c r="AD317" s="128"/>
      <c r="AE317" s="129"/>
      <c r="AG317" s="130"/>
      <c r="AH317" s="128"/>
      <c r="AI317" s="129"/>
      <c r="AK317" s="130"/>
      <c r="AL317" s="128"/>
      <c r="AM317" s="129"/>
      <c r="AO317" s="130"/>
      <c r="AP317" s="128"/>
      <c r="AQ317" s="129"/>
      <c r="AS317" s="130"/>
      <c r="AT317" s="128"/>
      <c r="AU317" s="129"/>
      <c r="AW317" s="130"/>
      <c r="AX317" s="85"/>
      <c r="AY317" s="84"/>
      <c r="AZ317" s="84"/>
      <c r="BA317" s="131"/>
      <c r="BB317" s="84"/>
      <c r="BE317" s="84"/>
      <c r="BI317" s="86"/>
      <c r="BO317" s="84"/>
      <c r="BT317" s="84"/>
      <c r="BY317" s="84"/>
      <c r="CD317" s="84"/>
      <c r="CI317" s="128"/>
      <c r="CJ317" s="129"/>
      <c r="CL317" s="132"/>
      <c r="CM317" s="128"/>
      <c r="CN317" s="129"/>
      <c r="CP317" s="132"/>
      <c r="CQ317" s="128"/>
      <c r="CR317" s="129"/>
      <c r="CT317" s="132"/>
      <c r="CU317" s="128"/>
      <c r="CV317" s="129"/>
      <c r="CX317" s="132"/>
      <c r="CY317" s="128"/>
      <c r="CZ317" s="129"/>
      <c r="DB317" s="132"/>
      <c r="DC317" s="128"/>
      <c r="DD317" s="129"/>
      <c r="DF317" s="132"/>
      <c r="DG317" s="85"/>
      <c r="DH317" s="85"/>
      <c r="DI317" s="84"/>
      <c r="DK317" s="84"/>
      <c r="DP317" s="84"/>
      <c r="DU317" s="84"/>
      <c r="DY317" s="84"/>
      <c r="EC317" s="84"/>
      <c r="EG317" s="84"/>
      <c r="EK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128"/>
      <c r="AA318" s="129"/>
      <c r="AC318" s="130"/>
      <c r="AD318" s="128"/>
      <c r="AE318" s="129"/>
      <c r="AG318" s="130"/>
      <c r="AH318" s="128"/>
      <c r="AI318" s="129"/>
      <c r="AK318" s="130"/>
      <c r="AL318" s="128"/>
      <c r="AM318" s="129"/>
      <c r="AO318" s="130"/>
      <c r="AP318" s="128"/>
      <c r="AQ318" s="129"/>
      <c r="AS318" s="130"/>
      <c r="AT318" s="128"/>
      <c r="AU318" s="129"/>
      <c r="AW318" s="130"/>
      <c r="AX318" s="85"/>
      <c r="AY318" s="84"/>
      <c r="AZ318" s="84"/>
      <c r="BA318" s="131"/>
      <c r="BB318" s="84"/>
      <c r="BE318" s="84"/>
      <c r="BI318" s="86"/>
      <c r="BO318" s="84"/>
      <c r="BT318" s="84"/>
      <c r="BY318" s="84"/>
      <c r="CD318" s="84"/>
      <c r="CI318" s="128"/>
      <c r="CJ318" s="129"/>
      <c r="CL318" s="132"/>
      <c r="CM318" s="128"/>
      <c r="CN318" s="129"/>
      <c r="CP318" s="132"/>
      <c r="CQ318" s="128"/>
      <c r="CR318" s="129"/>
      <c r="CT318" s="132"/>
      <c r="CU318" s="128"/>
      <c r="CV318" s="129"/>
      <c r="CX318" s="132"/>
      <c r="CY318" s="128"/>
      <c r="CZ318" s="129"/>
      <c r="DB318" s="132"/>
      <c r="DC318" s="128"/>
      <c r="DD318" s="129"/>
      <c r="DF318" s="132"/>
      <c r="DG318" s="85"/>
      <c r="DH318" s="85"/>
      <c r="DI318" s="84"/>
      <c r="DK318" s="84"/>
      <c r="DP318" s="84"/>
      <c r="DU318" s="84"/>
      <c r="DY318" s="84"/>
      <c r="EC318" s="84"/>
      <c r="EG318" s="84"/>
      <c r="EK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128"/>
      <c r="AA319" s="129"/>
      <c r="AC319" s="130"/>
      <c r="AD319" s="128"/>
      <c r="AE319" s="129"/>
      <c r="AG319" s="130"/>
      <c r="AH319" s="128"/>
      <c r="AI319" s="129"/>
      <c r="AK319" s="130"/>
      <c r="AL319" s="128"/>
      <c r="AM319" s="129"/>
      <c r="AO319" s="130"/>
      <c r="AP319" s="128"/>
      <c r="AQ319" s="129"/>
      <c r="AS319" s="130"/>
      <c r="AT319" s="128"/>
      <c r="AU319" s="129"/>
      <c r="AW319" s="130"/>
      <c r="AX319" s="85"/>
      <c r="AY319" s="84"/>
      <c r="AZ319" s="84"/>
      <c r="BA319" s="131"/>
      <c r="BB319" s="84"/>
      <c r="BE319" s="84"/>
      <c r="BI319" s="86"/>
      <c r="BO319" s="84"/>
      <c r="BT319" s="84"/>
      <c r="BY319" s="84"/>
      <c r="CD319" s="84"/>
      <c r="CI319" s="128"/>
      <c r="CJ319" s="129"/>
      <c r="CL319" s="132"/>
      <c r="CM319" s="128"/>
      <c r="CN319" s="129"/>
      <c r="CP319" s="132"/>
      <c r="CQ319" s="128"/>
      <c r="CR319" s="129"/>
      <c r="CT319" s="132"/>
      <c r="CU319" s="128"/>
      <c r="CV319" s="129"/>
      <c r="CX319" s="132"/>
      <c r="CY319" s="128"/>
      <c r="CZ319" s="129"/>
      <c r="DB319" s="132"/>
      <c r="DC319" s="128"/>
      <c r="DD319" s="129"/>
      <c r="DF319" s="132"/>
      <c r="DG319" s="85"/>
      <c r="DH319" s="85"/>
      <c r="DI319" s="84"/>
      <c r="DK319" s="84"/>
      <c r="DP319" s="84"/>
      <c r="DU319" s="84"/>
      <c r="DY319" s="84"/>
      <c r="EC319" s="84"/>
      <c r="EG319" s="84"/>
      <c r="EK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128"/>
      <c r="AA320" s="129"/>
      <c r="AC320" s="130"/>
      <c r="AD320" s="128"/>
      <c r="AE320" s="129"/>
      <c r="AG320" s="130"/>
      <c r="AH320" s="128"/>
      <c r="AI320" s="129"/>
      <c r="AK320" s="130"/>
      <c r="AL320" s="128"/>
      <c r="AM320" s="129"/>
      <c r="AO320" s="130"/>
      <c r="AP320" s="128"/>
      <c r="AQ320" s="129"/>
      <c r="AS320" s="130"/>
      <c r="AT320" s="128"/>
      <c r="AU320" s="129"/>
      <c r="AW320" s="130"/>
      <c r="AX320" s="85"/>
      <c r="AY320" s="84"/>
      <c r="AZ320" s="84"/>
      <c r="BA320" s="131"/>
      <c r="BB320" s="84"/>
      <c r="BE320" s="84"/>
      <c r="BI320" s="86"/>
      <c r="BO320" s="84"/>
      <c r="BT320" s="84"/>
      <c r="BY320" s="84"/>
      <c r="CD320" s="84"/>
      <c r="CI320" s="128"/>
      <c r="CJ320" s="129"/>
      <c r="CL320" s="132"/>
      <c r="CM320" s="128"/>
      <c r="CN320" s="129"/>
      <c r="CP320" s="132"/>
      <c r="CQ320" s="128"/>
      <c r="CR320" s="129"/>
      <c r="CT320" s="132"/>
      <c r="CU320" s="128"/>
      <c r="CV320" s="129"/>
      <c r="CX320" s="132"/>
      <c r="CY320" s="128"/>
      <c r="CZ320" s="129"/>
      <c r="DB320" s="132"/>
      <c r="DC320" s="128"/>
      <c r="DD320" s="129"/>
      <c r="DF320" s="132"/>
      <c r="DG320" s="85"/>
      <c r="DH320" s="85"/>
      <c r="DI320" s="84"/>
      <c r="DK320" s="84"/>
      <c r="DP320" s="84"/>
      <c r="DU320" s="84"/>
      <c r="DY320" s="84"/>
      <c r="EC320" s="84"/>
      <c r="EG320" s="84"/>
      <c r="EK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128"/>
      <c r="AA321" s="129"/>
      <c r="AC321" s="130"/>
      <c r="AD321" s="128"/>
      <c r="AE321" s="129"/>
      <c r="AG321" s="130"/>
      <c r="AH321" s="128"/>
      <c r="AI321" s="129"/>
      <c r="AK321" s="130"/>
      <c r="AL321" s="128"/>
      <c r="AM321" s="129"/>
      <c r="AO321" s="130"/>
      <c r="AP321" s="128"/>
      <c r="AQ321" s="129"/>
      <c r="AS321" s="130"/>
      <c r="AT321" s="128"/>
      <c r="AU321" s="129"/>
      <c r="AW321" s="130"/>
      <c r="AX321" s="85"/>
      <c r="AY321" s="84"/>
      <c r="AZ321" s="84"/>
      <c r="BA321" s="131"/>
      <c r="BB321" s="84"/>
      <c r="BE321" s="84"/>
      <c r="BI321" s="86"/>
      <c r="BO321" s="84"/>
      <c r="BT321" s="84"/>
      <c r="BY321" s="84"/>
      <c r="CD321" s="84"/>
      <c r="CI321" s="128"/>
      <c r="CJ321" s="129"/>
      <c r="CL321" s="132"/>
      <c r="CM321" s="128"/>
      <c r="CN321" s="129"/>
      <c r="CP321" s="132"/>
      <c r="CQ321" s="128"/>
      <c r="CR321" s="129"/>
      <c r="CT321" s="132"/>
      <c r="CU321" s="128"/>
      <c r="CV321" s="129"/>
      <c r="CX321" s="132"/>
      <c r="CY321" s="128"/>
      <c r="CZ321" s="129"/>
      <c r="DB321" s="132"/>
      <c r="DC321" s="128"/>
      <c r="DD321" s="129"/>
      <c r="DF321" s="132"/>
      <c r="DG321" s="85"/>
      <c r="DH321" s="85"/>
      <c r="DI321" s="84"/>
      <c r="DK321" s="84"/>
      <c r="DP321" s="84"/>
      <c r="DU321" s="84"/>
      <c r="DY321" s="84"/>
      <c r="EC321" s="84"/>
      <c r="EG321" s="84"/>
      <c r="EK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128"/>
      <c r="AA322" s="129"/>
      <c r="AC322" s="130"/>
      <c r="AD322" s="128"/>
      <c r="AE322" s="129"/>
      <c r="AG322" s="130"/>
      <c r="AH322" s="128"/>
      <c r="AI322" s="129"/>
      <c r="AK322" s="130"/>
      <c r="AL322" s="128"/>
      <c r="AM322" s="129"/>
      <c r="AO322" s="130"/>
      <c r="AP322" s="128"/>
      <c r="AQ322" s="129"/>
      <c r="AS322" s="130"/>
      <c r="AT322" s="128"/>
      <c r="AU322" s="129"/>
      <c r="AW322" s="130"/>
      <c r="AX322" s="85"/>
      <c r="AY322" s="84"/>
      <c r="AZ322" s="84"/>
      <c r="BA322" s="131"/>
      <c r="BB322" s="84"/>
      <c r="BE322" s="84"/>
      <c r="BI322" s="86"/>
      <c r="BO322" s="84"/>
      <c r="BT322" s="84"/>
      <c r="BY322" s="84"/>
      <c r="CD322" s="84"/>
      <c r="CI322" s="128"/>
      <c r="CJ322" s="129"/>
      <c r="CL322" s="132"/>
      <c r="CM322" s="128"/>
      <c r="CN322" s="129"/>
      <c r="CP322" s="132"/>
      <c r="CQ322" s="128"/>
      <c r="CR322" s="129"/>
      <c r="CT322" s="132"/>
      <c r="CU322" s="128"/>
      <c r="CV322" s="129"/>
      <c r="CX322" s="132"/>
      <c r="CY322" s="128"/>
      <c r="CZ322" s="129"/>
      <c r="DB322" s="132"/>
      <c r="DC322" s="128"/>
      <c r="DD322" s="129"/>
      <c r="DF322" s="132"/>
      <c r="DG322" s="85"/>
      <c r="DH322" s="85"/>
      <c r="DI322" s="84"/>
      <c r="DK322" s="84"/>
      <c r="DP322" s="84"/>
      <c r="DU322" s="84"/>
      <c r="DY322" s="84"/>
      <c r="EC322" s="84"/>
      <c r="EG322" s="84"/>
      <c r="EK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128"/>
      <c r="AA323" s="129"/>
      <c r="AC323" s="130"/>
      <c r="AD323" s="128"/>
      <c r="AE323" s="129"/>
      <c r="AG323" s="130"/>
      <c r="AH323" s="128"/>
      <c r="AI323" s="129"/>
      <c r="AK323" s="130"/>
      <c r="AL323" s="128"/>
      <c r="AM323" s="129"/>
      <c r="AO323" s="130"/>
      <c r="AP323" s="128"/>
      <c r="AQ323" s="129"/>
      <c r="AS323" s="130"/>
      <c r="AT323" s="128"/>
      <c r="AU323" s="129"/>
      <c r="AW323" s="130"/>
      <c r="AX323" s="85"/>
      <c r="AY323" s="84"/>
      <c r="AZ323" s="84"/>
      <c r="BA323" s="131"/>
      <c r="BB323" s="84"/>
      <c r="BE323" s="84"/>
      <c r="BI323" s="86"/>
      <c r="BO323" s="84"/>
      <c r="BT323" s="84"/>
      <c r="BY323" s="84"/>
      <c r="CD323" s="84"/>
      <c r="CI323" s="128"/>
      <c r="CJ323" s="129"/>
      <c r="CL323" s="132"/>
      <c r="CM323" s="128"/>
      <c r="CN323" s="129"/>
      <c r="CP323" s="132"/>
      <c r="CQ323" s="128"/>
      <c r="CR323" s="129"/>
      <c r="CT323" s="132"/>
      <c r="CU323" s="128"/>
      <c r="CV323" s="129"/>
      <c r="CX323" s="132"/>
      <c r="CY323" s="128"/>
      <c r="CZ323" s="129"/>
      <c r="DB323" s="132"/>
      <c r="DC323" s="128"/>
      <c r="DD323" s="129"/>
      <c r="DF323" s="132"/>
      <c r="DG323" s="85"/>
      <c r="DH323" s="85"/>
      <c r="DI323" s="84"/>
      <c r="DK323" s="84"/>
      <c r="DP323" s="84"/>
      <c r="DU323" s="84"/>
      <c r="DY323" s="84"/>
      <c r="EC323" s="84"/>
      <c r="EG323" s="84"/>
      <c r="EK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128"/>
      <c r="AA324" s="129"/>
      <c r="AC324" s="130"/>
      <c r="AD324" s="128"/>
      <c r="AE324" s="129"/>
      <c r="AG324" s="130"/>
      <c r="AH324" s="128"/>
      <c r="AI324" s="129"/>
      <c r="AK324" s="130"/>
      <c r="AL324" s="128"/>
      <c r="AM324" s="129"/>
      <c r="AO324" s="130"/>
      <c r="AP324" s="128"/>
      <c r="AQ324" s="129"/>
      <c r="AS324" s="130"/>
      <c r="AT324" s="128"/>
      <c r="AU324" s="129"/>
      <c r="AW324" s="130"/>
      <c r="AX324" s="85"/>
      <c r="AY324" s="84"/>
      <c r="AZ324" s="84"/>
      <c r="BA324" s="131"/>
      <c r="BB324" s="84"/>
      <c r="BE324" s="84"/>
      <c r="BI324" s="86"/>
      <c r="BO324" s="84"/>
      <c r="BT324" s="84"/>
      <c r="BY324" s="84"/>
      <c r="CD324" s="84"/>
      <c r="CI324" s="128"/>
      <c r="CJ324" s="129"/>
      <c r="CL324" s="132"/>
      <c r="CM324" s="128"/>
      <c r="CN324" s="129"/>
      <c r="CP324" s="132"/>
      <c r="CQ324" s="128"/>
      <c r="CR324" s="129"/>
      <c r="CT324" s="132"/>
      <c r="CU324" s="128"/>
      <c r="CV324" s="129"/>
      <c r="CX324" s="132"/>
      <c r="CY324" s="128"/>
      <c r="CZ324" s="129"/>
      <c r="DB324" s="132"/>
      <c r="DC324" s="128"/>
      <c r="DD324" s="129"/>
      <c r="DF324" s="132"/>
      <c r="DG324" s="85"/>
      <c r="DH324" s="85"/>
      <c r="DI324" s="84"/>
      <c r="DK324" s="84"/>
      <c r="DP324" s="84"/>
      <c r="DU324" s="84"/>
      <c r="DY324" s="84"/>
      <c r="EC324" s="84"/>
      <c r="EG324" s="84"/>
      <c r="EK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128"/>
      <c r="AA325" s="129"/>
      <c r="AC325" s="130"/>
      <c r="AD325" s="128"/>
      <c r="AE325" s="129"/>
      <c r="AG325" s="130"/>
      <c r="AH325" s="128"/>
      <c r="AI325" s="129"/>
      <c r="AK325" s="130"/>
      <c r="AL325" s="128"/>
      <c r="AM325" s="129"/>
      <c r="AO325" s="130"/>
      <c r="AP325" s="128"/>
      <c r="AQ325" s="129"/>
      <c r="AS325" s="130"/>
      <c r="AT325" s="128"/>
      <c r="AU325" s="129"/>
      <c r="AW325" s="130"/>
      <c r="AX325" s="85"/>
      <c r="AY325" s="84"/>
      <c r="AZ325" s="84"/>
      <c r="BA325" s="131"/>
      <c r="BB325" s="84"/>
      <c r="BE325" s="84"/>
      <c r="BI325" s="86"/>
      <c r="BO325" s="84"/>
      <c r="BT325" s="84"/>
      <c r="BY325" s="84"/>
      <c r="CD325" s="84"/>
      <c r="CI325" s="128"/>
      <c r="CJ325" s="129"/>
      <c r="CL325" s="132"/>
      <c r="CM325" s="128"/>
      <c r="CN325" s="129"/>
      <c r="CP325" s="132"/>
      <c r="CQ325" s="128"/>
      <c r="CR325" s="129"/>
      <c r="CT325" s="132"/>
      <c r="CU325" s="128"/>
      <c r="CV325" s="129"/>
      <c r="CX325" s="132"/>
      <c r="CY325" s="128"/>
      <c r="CZ325" s="129"/>
      <c r="DB325" s="132"/>
      <c r="DC325" s="128"/>
      <c r="DD325" s="129"/>
      <c r="DF325" s="132"/>
      <c r="DG325" s="85"/>
      <c r="DH325" s="85"/>
      <c r="DI325" s="84"/>
      <c r="DK325" s="84"/>
      <c r="DP325" s="84"/>
      <c r="DU325" s="84"/>
      <c r="DY325" s="84"/>
      <c r="EC325" s="84"/>
      <c r="EG325" s="84"/>
      <c r="EK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128"/>
      <c r="AA326" s="129"/>
      <c r="AC326" s="130"/>
      <c r="AD326" s="128"/>
      <c r="AE326" s="129"/>
      <c r="AG326" s="130"/>
      <c r="AH326" s="128"/>
      <c r="AI326" s="129"/>
      <c r="AK326" s="130"/>
      <c r="AL326" s="128"/>
      <c r="AM326" s="129"/>
      <c r="AO326" s="130"/>
      <c r="AP326" s="128"/>
      <c r="AQ326" s="129"/>
      <c r="AS326" s="130"/>
      <c r="AT326" s="128"/>
      <c r="AU326" s="129"/>
      <c r="AW326" s="130"/>
      <c r="AX326" s="85"/>
      <c r="AY326" s="84"/>
      <c r="AZ326" s="84"/>
      <c r="BA326" s="131"/>
      <c r="BB326" s="84"/>
      <c r="BE326" s="84"/>
      <c r="BI326" s="86"/>
      <c r="BO326" s="84"/>
      <c r="BT326" s="84"/>
      <c r="BY326" s="84"/>
      <c r="CD326" s="84"/>
      <c r="CI326" s="128"/>
      <c r="CJ326" s="129"/>
      <c r="CL326" s="132"/>
      <c r="CM326" s="128"/>
      <c r="CN326" s="129"/>
      <c r="CP326" s="132"/>
      <c r="CQ326" s="128"/>
      <c r="CR326" s="129"/>
      <c r="CT326" s="132"/>
      <c r="CU326" s="128"/>
      <c r="CV326" s="129"/>
      <c r="CX326" s="132"/>
      <c r="CY326" s="128"/>
      <c r="CZ326" s="129"/>
      <c r="DB326" s="132"/>
      <c r="DC326" s="128"/>
      <c r="DD326" s="129"/>
      <c r="DF326" s="132"/>
      <c r="DG326" s="85"/>
      <c r="DH326" s="85"/>
      <c r="DI326" s="84"/>
      <c r="DK326" s="84"/>
      <c r="DP326" s="84"/>
      <c r="DU326" s="84"/>
      <c r="DY326" s="84"/>
      <c r="EC326" s="84"/>
      <c r="EG326" s="84"/>
      <c r="EK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128"/>
      <c r="AA327" s="129"/>
      <c r="AC327" s="130"/>
      <c r="AD327" s="128"/>
      <c r="AE327" s="129"/>
      <c r="AG327" s="130"/>
      <c r="AH327" s="128"/>
      <c r="AI327" s="129"/>
      <c r="AK327" s="130"/>
      <c r="AL327" s="128"/>
      <c r="AM327" s="129"/>
      <c r="AO327" s="130"/>
      <c r="AP327" s="128"/>
      <c r="AQ327" s="129"/>
      <c r="AS327" s="130"/>
      <c r="AT327" s="128"/>
      <c r="AU327" s="129"/>
      <c r="AW327" s="130"/>
      <c r="AX327" s="85"/>
      <c r="AY327" s="84"/>
      <c r="AZ327" s="84"/>
      <c r="BA327" s="131"/>
      <c r="BB327" s="84"/>
      <c r="BE327" s="84"/>
      <c r="BI327" s="86"/>
      <c r="BO327" s="84"/>
      <c r="BT327" s="84"/>
      <c r="BY327" s="84"/>
      <c r="CD327" s="84"/>
      <c r="CI327" s="128"/>
      <c r="CJ327" s="129"/>
      <c r="CL327" s="132"/>
      <c r="CM327" s="128"/>
      <c r="CN327" s="129"/>
      <c r="CP327" s="132"/>
      <c r="CQ327" s="128"/>
      <c r="CR327" s="129"/>
      <c r="CT327" s="132"/>
      <c r="CU327" s="128"/>
      <c r="CV327" s="129"/>
      <c r="CX327" s="132"/>
      <c r="CY327" s="128"/>
      <c r="CZ327" s="129"/>
      <c r="DB327" s="132"/>
      <c r="DC327" s="128"/>
      <c r="DD327" s="129"/>
      <c r="DF327" s="132"/>
      <c r="DG327" s="85"/>
      <c r="DH327" s="85"/>
      <c r="DI327" s="84"/>
      <c r="DK327" s="84"/>
      <c r="DP327" s="84"/>
      <c r="DU327" s="84"/>
      <c r="DY327" s="84"/>
      <c r="EC327" s="84"/>
      <c r="EG327" s="84"/>
      <c r="EK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128"/>
      <c r="AA328" s="129"/>
      <c r="AC328" s="130"/>
      <c r="AD328" s="128"/>
      <c r="AE328" s="129"/>
      <c r="AG328" s="130"/>
      <c r="AH328" s="128"/>
      <c r="AI328" s="129"/>
      <c r="AK328" s="130"/>
      <c r="AL328" s="128"/>
      <c r="AM328" s="129"/>
      <c r="AO328" s="130"/>
      <c r="AP328" s="128"/>
      <c r="AQ328" s="129"/>
      <c r="AS328" s="130"/>
      <c r="AT328" s="128"/>
      <c r="AU328" s="129"/>
      <c r="AW328" s="130"/>
      <c r="AX328" s="85"/>
      <c r="AY328" s="84"/>
      <c r="AZ328" s="84"/>
      <c r="BA328" s="131"/>
      <c r="BB328" s="84"/>
      <c r="BE328" s="84"/>
      <c r="BI328" s="86"/>
      <c r="BO328" s="84"/>
      <c r="BT328" s="84"/>
      <c r="BY328" s="84"/>
      <c r="CD328" s="84"/>
      <c r="CI328" s="128"/>
      <c r="CJ328" s="129"/>
      <c r="CL328" s="132"/>
      <c r="CM328" s="128"/>
      <c r="CN328" s="129"/>
      <c r="CP328" s="132"/>
      <c r="CQ328" s="128"/>
      <c r="CR328" s="129"/>
      <c r="CT328" s="132"/>
      <c r="CU328" s="128"/>
      <c r="CV328" s="129"/>
      <c r="CX328" s="132"/>
      <c r="CY328" s="128"/>
      <c r="CZ328" s="129"/>
      <c r="DB328" s="132"/>
      <c r="DC328" s="128"/>
      <c r="DD328" s="129"/>
      <c r="DF328" s="132"/>
      <c r="DG328" s="85"/>
      <c r="DH328" s="85"/>
      <c r="DI328" s="84"/>
      <c r="DK328" s="84"/>
      <c r="DP328" s="84"/>
      <c r="DU328" s="84"/>
      <c r="DY328" s="84"/>
      <c r="EC328" s="84"/>
      <c r="EG328" s="84"/>
      <c r="EK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128"/>
      <c r="AA329" s="129"/>
      <c r="AC329" s="130"/>
      <c r="AD329" s="128"/>
      <c r="AE329" s="129"/>
      <c r="AG329" s="130"/>
      <c r="AH329" s="128"/>
      <c r="AI329" s="129"/>
      <c r="AK329" s="130"/>
      <c r="AL329" s="128"/>
      <c r="AM329" s="129"/>
      <c r="AO329" s="130"/>
      <c r="AP329" s="128"/>
      <c r="AQ329" s="129"/>
      <c r="AS329" s="130"/>
      <c r="AT329" s="128"/>
      <c r="AU329" s="129"/>
      <c r="AW329" s="130"/>
      <c r="AX329" s="85"/>
      <c r="AY329" s="84"/>
      <c r="AZ329" s="84"/>
      <c r="BA329" s="131"/>
      <c r="BB329" s="84"/>
      <c r="BE329" s="84"/>
      <c r="BI329" s="86"/>
      <c r="BO329" s="84"/>
      <c r="BT329" s="84"/>
      <c r="BY329" s="84"/>
      <c r="CD329" s="84"/>
      <c r="CI329" s="128"/>
      <c r="CJ329" s="129"/>
      <c r="CL329" s="132"/>
      <c r="CM329" s="128"/>
      <c r="CN329" s="129"/>
      <c r="CP329" s="132"/>
      <c r="CQ329" s="128"/>
      <c r="CR329" s="129"/>
      <c r="CT329" s="132"/>
      <c r="CU329" s="128"/>
      <c r="CV329" s="129"/>
      <c r="CX329" s="132"/>
      <c r="CY329" s="128"/>
      <c r="CZ329" s="129"/>
      <c r="DB329" s="132"/>
      <c r="DC329" s="128"/>
      <c r="DD329" s="129"/>
      <c r="DF329" s="132"/>
      <c r="DG329" s="85"/>
      <c r="DH329" s="85"/>
      <c r="DI329" s="84"/>
      <c r="DK329" s="84"/>
      <c r="DP329" s="84"/>
      <c r="DU329" s="84"/>
      <c r="DY329" s="84"/>
      <c r="EC329" s="84"/>
      <c r="EG329" s="84"/>
      <c r="EK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128"/>
      <c r="AA330" s="129"/>
      <c r="AC330" s="130"/>
      <c r="AD330" s="128"/>
      <c r="AE330" s="129"/>
      <c r="AG330" s="130"/>
      <c r="AH330" s="128"/>
      <c r="AI330" s="129"/>
      <c r="AK330" s="130"/>
      <c r="AL330" s="128"/>
      <c r="AM330" s="129"/>
      <c r="AO330" s="130"/>
      <c r="AP330" s="128"/>
      <c r="AQ330" s="129"/>
      <c r="AS330" s="130"/>
      <c r="AT330" s="128"/>
      <c r="AU330" s="129"/>
      <c r="AW330" s="130"/>
      <c r="AX330" s="85"/>
      <c r="AY330" s="84"/>
      <c r="AZ330" s="84"/>
      <c r="BA330" s="131"/>
      <c r="BB330" s="84"/>
      <c r="BE330" s="84"/>
      <c r="BI330" s="86"/>
      <c r="BO330" s="84"/>
      <c r="BT330" s="84"/>
      <c r="BY330" s="84"/>
      <c r="CD330" s="84"/>
      <c r="CI330" s="128"/>
      <c r="CJ330" s="129"/>
      <c r="CL330" s="132"/>
      <c r="CM330" s="128"/>
      <c r="CN330" s="129"/>
      <c r="CP330" s="132"/>
      <c r="CQ330" s="128"/>
      <c r="CR330" s="129"/>
      <c r="CT330" s="132"/>
      <c r="CU330" s="128"/>
      <c r="CV330" s="129"/>
      <c r="CX330" s="132"/>
      <c r="CY330" s="128"/>
      <c r="CZ330" s="129"/>
      <c r="DB330" s="132"/>
      <c r="DC330" s="128"/>
      <c r="DD330" s="129"/>
      <c r="DF330" s="132"/>
      <c r="DG330" s="85"/>
      <c r="DH330" s="85"/>
      <c r="DI330" s="84"/>
      <c r="DK330" s="84"/>
      <c r="DP330" s="84"/>
      <c r="DU330" s="84"/>
      <c r="DY330" s="84"/>
      <c r="EC330" s="84"/>
      <c r="EG330" s="84"/>
      <c r="EK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128"/>
      <c r="AA331" s="129"/>
      <c r="AC331" s="130"/>
      <c r="AD331" s="128"/>
      <c r="AE331" s="129"/>
      <c r="AG331" s="130"/>
      <c r="AH331" s="128"/>
      <c r="AI331" s="129"/>
      <c r="AK331" s="130"/>
      <c r="AL331" s="128"/>
      <c r="AM331" s="129"/>
      <c r="AO331" s="130"/>
      <c r="AP331" s="128"/>
      <c r="AQ331" s="129"/>
      <c r="AS331" s="130"/>
      <c r="AT331" s="128"/>
      <c r="AU331" s="129"/>
      <c r="AW331" s="130"/>
      <c r="AX331" s="85"/>
      <c r="AY331" s="84"/>
      <c r="AZ331" s="84"/>
      <c r="BA331" s="131"/>
      <c r="BB331" s="84"/>
      <c r="BE331" s="84"/>
      <c r="BI331" s="86"/>
      <c r="BO331" s="84"/>
      <c r="BT331" s="84"/>
      <c r="BY331" s="84"/>
      <c r="CD331" s="84"/>
      <c r="CI331" s="128"/>
      <c r="CJ331" s="129"/>
      <c r="CL331" s="132"/>
      <c r="CM331" s="128"/>
      <c r="CN331" s="129"/>
      <c r="CP331" s="132"/>
      <c r="CQ331" s="128"/>
      <c r="CR331" s="129"/>
      <c r="CT331" s="132"/>
      <c r="CU331" s="128"/>
      <c r="CV331" s="129"/>
      <c r="CX331" s="132"/>
      <c r="CY331" s="128"/>
      <c r="CZ331" s="129"/>
      <c r="DB331" s="132"/>
      <c r="DC331" s="128"/>
      <c r="DD331" s="129"/>
      <c r="DF331" s="132"/>
      <c r="DG331" s="85"/>
      <c r="DH331" s="85"/>
      <c r="DI331" s="84"/>
      <c r="DK331" s="84"/>
      <c r="DP331" s="84"/>
      <c r="DU331" s="84"/>
      <c r="DY331" s="84"/>
      <c r="EC331" s="84"/>
      <c r="EG331" s="84"/>
      <c r="EK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128"/>
      <c r="AA332" s="129"/>
      <c r="AC332" s="130"/>
      <c r="AD332" s="128"/>
      <c r="AE332" s="129"/>
      <c r="AG332" s="130"/>
      <c r="AH332" s="128"/>
      <c r="AI332" s="129"/>
      <c r="AK332" s="130"/>
      <c r="AL332" s="128"/>
      <c r="AM332" s="129"/>
      <c r="AO332" s="130"/>
      <c r="AP332" s="128"/>
      <c r="AQ332" s="129"/>
      <c r="AS332" s="130"/>
      <c r="AT332" s="128"/>
      <c r="AU332" s="129"/>
      <c r="AW332" s="130"/>
      <c r="AX332" s="85"/>
      <c r="AY332" s="84"/>
      <c r="AZ332" s="84"/>
      <c r="BA332" s="131"/>
      <c r="BB332" s="84"/>
      <c r="BE332" s="84"/>
      <c r="BI332" s="86"/>
      <c r="BO332" s="84"/>
      <c r="BT332" s="84"/>
      <c r="BY332" s="84"/>
      <c r="CD332" s="84"/>
      <c r="CI332" s="128"/>
      <c r="CJ332" s="129"/>
      <c r="CL332" s="132"/>
      <c r="CM332" s="128"/>
      <c r="CN332" s="129"/>
      <c r="CP332" s="132"/>
      <c r="CQ332" s="128"/>
      <c r="CR332" s="129"/>
      <c r="CT332" s="132"/>
      <c r="CU332" s="128"/>
      <c r="CV332" s="129"/>
      <c r="CX332" s="132"/>
      <c r="CY332" s="128"/>
      <c r="CZ332" s="129"/>
      <c r="DB332" s="132"/>
      <c r="DC332" s="128"/>
      <c r="DD332" s="129"/>
      <c r="DF332" s="132"/>
      <c r="DG332" s="85"/>
      <c r="DH332" s="85"/>
      <c r="DI332" s="84"/>
      <c r="DK332" s="84"/>
      <c r="DP332" s="84"/>
      <c r="DU332" s="84"/>
      <c r="DY332" s="84"/>
      <c r="EC332" s="84"/>
      <c r="EG332" s="84"/>
      <c r="EK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128"/>
      <c r="AA333" s="129"/>
      <c r="AC333" s="130"/>
      <c r="AD333" s="128"/>
      <c r="AE333" s="129"/>
      <c r="AG333" s="130"/>
      <c r="AH333" s="128"/>
      <c r="AI333" s="129"/>
      <c r="AK333" s="130"/>
      <c r="AL333" s="128"/>
      <c r="AM333" s="129"/>
      <c r="AO333" s="130"/>
      <c r="AP333" s="128"/>
      <c r="AQ333" s="129"/>
      <c r="AS333" s="130"/>
      <c r="AT333" s="128"/>
      <c r="AU333" s="129"/>
      <c r="AW333" s="130"/>
      <c r="AX333" s="85"/>
      <c r="AY333" s="84"/>
      <c r="AZ333" s="84"/>
      <c r="BA333" s="131"/>
      <c r="BB333" s="84"/>
      <c r="BE333" s="84"/>
      <c r="BI333" s="86"/>
      <c r="BO333" s="84"/>
      <c r="BT333" s="84"/>
      <c r="BY333" s="84"/>
      <c r="CD333" s="84"/>
      <c r="CI333" s="128"/>
      <c r="CJ333" s="129"/>
      <c r="CL333" s="132"/>
      <c r="CM333" s="128"/>
      <c r="CN333" s="129"/>
      <c r="CP333" s="132"/>
      <c r="CQ333" s="128"/>
      <c r="CR333" s="129"/>
      <c r="CT333" s="132"/>
      <c r="CU333" s="128"/>
      <c r="CV333" s="129"/>
      <c r="CX333" s="132"/>
      <c r="CY333" s="128"/>
      <c r="CZ333" s="129"/>
      <c r="DB333" s="132"/>
      <c r="DC333" s="128"/>
      <c r="DD333" s="129"/>
      <c r="DF333" s="132"/>
      <c r="DG333" s="85"/>
      <c r="DH333" s="85"/>
      <c r="DI333" s="84"/>
      <c r="DK333" s="84"/>
      <c r="DP333" s="84"/>
      <c r="DU333" s="84"/>
      <c r="DY333" s="84"/>
      <c r="EC333" s="84"/>
      <c r="EG333" s="84"/>
      <c r="EK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128"/>
      <c r="AA334" s="129"/>
      <c r="AC334" s="130"/>
      <c r="AD334" s="128"/>
      <c r="AE334" s="129"/>
      <c r="AG334" s="130"/>
      <c r="AH334" s="128"/>
      <c r="AI334" s="129"/>
      <c r="AK334" s="130"/>
      <c r="AL334" s="128"/>
      <c r="AM334" s="129"/>
      <c r="AO334" s="130"/>
      <c r="AP334" s="128"/>
      <c r="AQ334" s="129"/>
      <c r="AS334" s="130"/>
      <c r="AT334" s="128"/>
      <c r="AU334" s="129"/>
      <c r="AW334" s="130"/>
      <c r="AX334" s="85"/>
      <c r="AY334" s="84"/>
      <c r="AZ334" s="84"/>
      <c r="BA334" s="131"/>
      <c r="BB334" s="84"/>
      <c r="BE334" s="84"/>
      <c r="BI334" s="86"/>
      <c r="BO334" s="84"/>
      <c r="BT334" s="84"/>
      <c r="BY334" s="84"/>
      <c r="CD334" s="84"/>
      <c r="CI334" s="128"/>
      <c r="CJ334" s="129"/>
      <c r="CL334" s="132"/>
      <c r="CM334" s="128"/>
      <c r="CN334" s="129"/>
      <c r="CP334" s="132"/>
      <c r="CQ334" s="128"/>
      <c r="CR334" s="129"/>
      <c r="CT334" s="132"/>
      <c r="CU334" s="128"/>
      <c r="CV334" s="129"/>
      <c r="CX334" s="132"/>
      <c r="CY334" s="128"/>
      <c r="CZ334" s="129"/>
      <c r="DB334" s="132"/>
      <c r="DC334" s="128"/>
      <c r="DD334" s="129"/>
      <c r="DF334" s="132"/>
      <c r="DG334" s="85"/>
      <c r="DH334" s="85"/>
      <c r="DI334" s="84"/>
      <c r="DK334" s="84"/>
      <c r="DP334" s="84"/>
      <c r="DU334" s="84"/>
      <c r="DY334" s="84"/>
      <c r="EC334" s="84"/>
      <c r="EG334" s="84"/>
      <c r="EK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128"/>
      <c r="AA335" s="129"/>
      <c r="AC335" s="130"/>
      <c r="AD335" s="128"/>
      <c r="AE335" s="129"/>
      <c r="AG335" s="130"/>
      <c r="AH335" s="128"/>
      <c r="AI335" s="129"/>
      <c r="AK335" s="130"/>
      <c r="AL335" s="128"/>
      <c r="AM335" s="129"/>
      <c r="AO335" s="130"/>
      <c r="AP335" s="128"/>
      <c r="AQ335" s="129"/>
      <c r="AS335" s="130"/>
      <c r="AT335" s="128"/>
      <c r="AU335" s="129"/>
      <c r="AW335" s="130"/>
      <c r="AX335" s="85"/>
      <c r="AY335" s="84"/>
      <c r="AZ335" s="84"/>
      <c r="BA335" s="131"/>
      <c r="BB335" s="84"/>
      <c r="BE335" s="84"/>
      <c r="BI335" s="86"/>
      <c r="BO335" s="84"/>
      <c r="BT335" s="84"/>
      <c r="BY335" s="84"/>
      <c r="CD335" s="84"/>
      <c r="CI335" s="128"/>
      <c r="CJ335" s="129"/>
      <c r="CL335" s="132"/>
      <c r="CM335" s="128"/>
      <c r="CN335" s="129"/>
      <c r="CP335" s="132"/>
      <c r="CQ335" s="128"/>
      <c r="CR335" s="129"/>
      <c r="CT335" s="132"/>
      <c r="CU335" s="128"/>
      <c r="CV335" s="129"/>
      <c r="CX335" s="132"/>
      <c r="CY335" s="128"/>
      <c r="CZ335" s="129"/>
      <c r="DB335" s="132"/>
      <c r="DC335" s="128"/>
      <c r="DD335" s="129"/>
      <c r="DF335" s="132"/>
      <c r="DG335" s="85"/>
      <c r="DH335" s="85"/>
      <c r="DI335" s="84"/>
      <c r="DK335" s="84"/>
      <c r="DP335" s="84"/>
      <c r="DU335" s="84"/>
      <c r="DY335" s="84"/>
      <c r="EC335" s="84"/>
      <c r="EG335" s="84"/>
      <c r="EK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128"/>
      <c r="AA336" s="129"/>
      <c r="AC336" s="130"/>
      <c r="AD336" s="128"/>
      <c r="AE336" s="129"/>
      <c r="AG336" s="130"/>
      <c r="AH336" s="128"/>
      <c r="AI336" s="129"/>
      <c r="AK336" s="130"/>
      <c r="AL336" s="128"/>
      <c r="AM336" s="129"/>
      <c r="AO336" s="130"/>
      <c r="AP336" s="128"/>
      <c r="AQ336" s="129"/>
      <c r="AS336" s="130"/>
      <c r="AT336" s="128"/>
      <c r="AU336" s="129"/>
      <c r="AW336" s="130"/>
      <c r="AX336" s="85"/>
      <c r="AY336" s="84"/>
      <c r="AZ336" s="84"/>
      <c r="BA336" s="131"/>
      <c r="BB336" s="84"/>
      <c r="BE336" s="84"/>
      <c r="BI336" s="86"/>
      <c r="BO336" s="84"/>
      <c r="BT336" s="84"/>
      <c r="BY336" s="84"/>
      <c r="CD336" s="84"/>
      <c r="CI336" s="128"/>
      <c r="CJ336" s="129"/>
      <c r="CL336" s="132"/>
      <c r="CM336" s="128"/>
      <c r="CN336" s="129"/>
      <c r="CP336" s="132"/>
      <c r="CQ336" s="128"/>
      <c r="CR336" s="129"/>
      <c r="CT336" s="132"/>
      <c r="CU336" s="128"/>
      <c r="CV336" s="129"/>
      <c r="CX336" s="132"/>
      <c r="CY336" s="128"/>
      <c r="CZ336" s="129"/>
      <c r="DB336" s="132"/>
      <c r="DC336" s="128"/>
      <c r="DD336" s="129"/>
      <c r="DF336" s="132"/>
      <c r="DG336" s="85"/>
      <c r="DH336" s="85"/>
      <c r="DI336" s="84"/>
      <c r="DK336" s="84"/>
      <c r="DP336" s="84"/>
      <c r="DU336" s="84"/>
      <c r="DY336" s="84"/>
      <c r="EC336" s="84"/>
      <c r="EG336" s="84"/>
      <c r="EK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128"/>
      <c r="AA337" s="129"/>
      <c r="AC337" s="130"/>
      <c r="AD337" s="128"/>
      <c r="AE337" s="129"/>
      <c r="AG337" s="130"/>
      <c r="AH337" s="128"/>
      <c r="AI337" s="129"/>
      <c r="AK337" s="130"/>
      <c r="AL337" s="128"/>
      <c r="AM337" s="129"/>
      <c r="AO337" s="130"/>
      <c r="AP337" s="128"/>
      <c r="AQ337" s="129"/>
      <c r="AS337" s="130"/>
      <c r="AT337" s="128"/>
      <c r="AU337" s="129"/>
      <c r="AW337" s="130"/>
      <c r="AX337" s="85"/>
      <c r="AY337" s="84"/>
      <c r="AZ337" s="84"/>
      <c r="BA337" s="131"/>
      <c r="BB337" s="84"/>
      <c r="BE337" s="84"/>
      <c r="BI337" s="86"/>
      <c r="BO337" s="84"/>
      <c r="BT337" s="84"/>
      <c r="BY337" s="84"/>
      <c r="CD337" s="84"/>
      <c r="CI337" s="128"/>
      <c r="CJ337" s="129"/>
      <c r="CL337" s="132"/>
      <c r="CM337" s="128"/>
      <c r="CN337" s="129"/>
      <c r="CP337" s="132"/>
      <c r="CQ337" s="128"/>
      <c r="CR337" s="129"/>
      <c r="CT337" s="132"/>
      <c r="CU337" s="128"/>
      <c r="CV337" s="129"/>
      <c r="CX337" s="132"/>
      <c r="CY337" s="128"/>
      <c r="CZ337" s="129"/>
      <c r="DB337" s="132"/>
      <c r="DC337" s="128"/>
      <c r="DD337" s="129"/>
      <c r="DF337" s="132"/>
      <c r="DG337" s="85"/>
      <c r="DH337" s="85"/>
      <c r="DI337" s="84"/>
      <c r="DK337" s="84"/>
      <c r="DP337" s="84"/>
      <c r="DU337" s="84"/>
      <c r="DY337" s="84"/>
      <c r="EC337" s="84"/>
      <c r="EG337" s="84"/>
      <c r="EK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128"/>
      <c r="AA338" s="129"/>
      <c r="AC338" s="130"/>
      <c r="AD338" s="128"/>
      <c r="AE338" s="129"/>
      <c r="AG338" s="130"/>
      <c r="AH338" s="128"/>
      <c r="AI338" s="129"/>
      <c r="AK338" s="130"/>
      <c r="AL338" s="128"/>
      <c r="AM338" s="129"/>
      <c r="AO338" s="130"/>
      <c r="AP338" s="128"/>
      <c r="AQ338" s="129"/>
      <c r="AS338" s="130"/>
      <c r="AT338" s="128"/>
      <c r="AU338" s="129"/>
      <c r="AW338" s="130"/>
      <c r="AX338" s="85"/>
      <c r="AY338" s="84"/>
      <c r="AZ338" s="84"/>
      <c r="BA338" s="131"/>
      <c r="BB338" s="84"/>
      <c r="BE338" s="84"/>
      <c r="BI338" s="86"/>
      <c r="BO338" s="84"/>
      <c r="BT338" s="84"/>
      <c r="BY338" s="84"/>
      <c r="CD338" s="84"/>
      <c r="CI338" s="128"/>
      <c r="CJ338" s="129"/>
      <c r="CL338" s="132"/>
      <c r="CM338" s="128"/>
      <c r="CN338" s="129"/>
      <c r="CP338" s="132"/>
      <c r="CQ338" s="128"/>
      <c r="CR338" s="129"/>
      <c r="CT338" s="132"/>
      <c r="CU338" s="128"/>
      <c r="CV338" s="129"/>
      <c r="CX338" s="132"/>
      <c r="CY338" s="128"/>
      <c r="CZ338" s="129"/>
      <c r="DB338" s="132"/>
      <c r="DC338" s="128"/>
      <c r="DD338" s="129"/>
      <c r="DF338" s="132"/>
      <c r="DG338" s="85"/>
      <c r="DH338" s="85"/>
      <c r="DI338" s="84"/>
      <c r="DK338" s="84"/>
      <c r="DP338" s="84"/>
      <c r="DU338" s="84"/>
      <c r="DY338" s="84"/>
      <c r="EC338" s="84"/>
      <c r="EG338" s="84"/>
      <c r="EK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128"/>
      <c r="AA339" s="129"/>
      <c r="AC339" s="130"/>
      <c r="AD339" s="128"/>
      <c r="AE339" s="129"/>
      <c r="AG339" s="130"/>
      <c r="AH339" s="128"/>
      <c r="AI339" s="129"/>
      <c r="AK339" s="130"/>
      <c r="AL339" s="128"/>
      <c r="AM339" s="129"/>
      <c r="AO339" s="130"/>
      <c r="AP339" s="128"/>
      <c r="AQ339" s="129"/>
      <c r="AS339" s="130"/>
      <c r="AT339" s="128"/>
      <c r="AU339" s="129"/>
      <c r="AW339" s="130"/>
      <c r="AX339" s="85"/>
      <c r="AY339" s="84"/>
      <c r="AZ339" s="84"/>
      <c r="BA339" s="131"/>
      <c r="BB339" s="84"/>
      <c r="BE339" s="84"/>
      <c r="BI339" s="86"/>
      <c r="BO339" s="84"/>
      <c r="BT339" s="84"/>
      <c r="BY339" s="84"/>
      <c r="CD339" s="84"/>
      <c r="CI339" s="128"/>
      <c r="CJ339" s="129"/>
      <c r="CL339" s="132"/>
      <c r="CM339" s="128"/>
      <c r="CN339" s="129"/>
      <c r="CP339" s="132"/>
      <c r="CQ339" s="128"/>
      <c r="CR339" s="129"/>
      <c r="CT339" s="132"/>
      <c r="CU339" s="128"/>
      <c r="CV339" s="129"/>
      <c r="CX339" s="132"/>
      <c r="CY339" s="128"/>
      <c r="CZ339" s="129"/>
      <c r="DB339" s="132"/>
      <c r="DC339" s="128"/>
      <c r="DD339" s="129"/>
      <c r="DF339" s="132"/>
      <c r="DG339" s="85"/>
      <c r="DH339" s="85"/>
      <c r="DI339" s="84"/>
      <c r="DK339" s="84"/>
      <c r="DP339" s="84"/>
      <c r="DU339" s="84"/>
      <c r="DY339" s="84"/>
      <c r="EC339" s="84"/>
      <c r="EG339" s="84"/>
      <c r="EK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128"/>
      <c r="AA340" s="129"/>
      <c r="AC340" s="130"/>
      <c r="AD340" s="128"/>
      <c r="AE340" s="129"/>
      <c r="AG340" s="130"/>
      <c r="AH340" s="128"/>
      <c r="AI340" s="129"/>
      <c r="AK340" s="130"/>
      <c r="AL340" s="128"/>
      <c r="AM340" s="129"/>
      <c r="AO340" s="130"/>
      <c r="AP340" s="128"/>
      <c r="AQ340" s="129"/>
      <c r="AS340" s="130"/>
      <c r="AT340" s="128"/>
      <c r="AU340" s="129"/>
      <c r="AW340" s="130"/>
      <c r="AX340" s="85"/>
      <c r="AY340" s="84"/>
      <c r="AZ340" s="84"/>
      <c r="BA340" s="131"/>
      <c r="BB340" s="84"/>
      <c r="BE340" s="84"/>
      <c r="BI340" s="86"/>
      <c r="BO340" s="84"/>
      <c r="BT340" s="84"/>
      <c r="BY340" s="84"/>
      <c r="CD340" s="84"/>
      <c r="CI340" s="128"/>
      <c r="CJ340" s="129"/>
      <c r="CL340" s="132"/>
      <c r="CM340" s="128"/>
      <c r="CN340" s="129"/>
      <c r="CP340" s="132"/>
      <c r="CQ340" s="128"/>
      <c r="CR340" s="129"/>
      <c r="CT340" s="132"/>
      <c r="CU340" s="128"/>
      <c r="CV340" s="129"/>
      <c r="CX340" s="132"/>
      <c r="CY340" s="128"/>
      <c r="CZ340" s="129"/>
      <c r="DB340" s="132"/>
      <c r="DC340" s="128"/>
      <c r="DD340" s="129"/>
      <c r="DF340" s="132"/>
      <c r="DG340" s="85"/>
      <c r="DH340" s="85"/>
      <c r="DI340" s="84"/>
      <c r="DK340" s="84"/>
      <c r="DP340" s="84"/>
      <c r="DU340" s="84"/>
      <c r="DY340" s="84"/>
      <c r="EC340" s="84"/>
      <c r="EG340" s="84"/>
      <c r="EK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128"/>
      <c r="AA341" s="129"/>
      <c r="AC341" s="130"/>
      <c r="AD341" s="128"/>
      <c r="AE341" s="129"/>
      <c r="AG341" s="130"/>
      <c r="AH341" s="128"/>
      <c r="AI341" s="129"/>
      <c r="AK341" s="130"/>
      <c r="AL341" s="128"/>
      <c r="AM341" s="129"/>
      <c r="AO341" s="130"/>
      <c r="AP341" s="128"/>
      <c r="AQ341" s="129"/>
      <c r="AS341" s="130"/>
      <c r="AT341" s="128"/>
      <c r="AU341" s="129"/>
      <c r="AW341" s="130"/>
      <c r="AX341" s="85"/>
      <c r="AY341" s="84"/>
      <c r="AZ341" s="84"/>
      <c r="BA341" s="131"/>
      <c r="BB341" s="84"/>
      <c r="BE341" s="84"/>
      <c r="BI341" s="86"/>
      <c r="BO341" s="84"/>
      <c r="BT341" s="84"/>
      <c r="BY341" s="84"/>
      <c r="CD341" s="84"/>
      <c r="CI341" s="128"/>
      <c r="CJ341" s="129"/>
      <c r="CL341" s="132"/>
      <c r="CM341" s="128"/>
      <c r="CN341" s="129"/>
      <c r="CP341" s="132"/>
      <c r="CQ341" s="128"/>
      <c r="CR341" s="129"/>
      <c r="CT341" s="132"/>
      <c r="CU341" s="128"/>
      <c r="CV341" s="129"/>
      <c r="CX341" s="132"/>
      <c r="CY341" s="128"/>
      <c r="CZ341" s="129"/>
      <c r="DB341" s="132"/>
      <c r="DC341" s="128"/>
      <c r="DD341" s="129"/>
      <c r="DF341" s="132"/>
      <c r="DG341" s="85"/>
      <c r="DH341" s="85"/>
      <c r="DI341" s="84"/>
      <c r="DK341" s="84"/>
      <c r="DP341" s="84"/>
      <c r="DU341" s="84"/>
      <c r="DY341" s="84"/>
      <c r="EC341" s="84"/>
      <c r="EG341" s="84"/>
      <c r="EK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128"/>
      <c r="AA342" s="129"/>
      <c r="AC342" s="130"/>
      <c r="AD342" s="128"/>
      <c r="AE342" s="129"/>
      <c r="AG342" s="130"/>
      <c r="AH342" s="128"/>
      <c r="AI342" s="129"/>
      <c r="AK342" s="130"/>
      <c r="AL342" s="128"/>
      <c r="AM342" s="129"/>
      <c r="AO342" s="130"/>
      <c r="AP342" s="128"/>
      <c r="AQ342" s="129"/>
      <c r="AS342" s="130"/>
      <c r="AT342" s="128"/>
      <c r="AU342" s="129"/>
      <c r="AW342" s="130"/>
      <c r="AX342" s="85"/>
      <c r="AY342" s="84"/>
      <c r="AZ342" s="84"/>
      <c r="BA342" s="131"/>
      <c r="BB342" s="84"/>
      <c r="BE342" s="84"/>
      <c r="BI342" s="86"/>
      <c r="BO342" s="84"/>
      <c r="BT342" s="84"/>
      <c r="BY342" s="84"/>
      <c r="CD342" s="84"/>
      <c r="CI342" s="128"/>
      <c r="CJ342" s="129"/>
      <c r="CL342" s="132"/>
      <c r="CM342" s="128"/>
      <c r="CN342" s="129"/>
      <c r="CP342" s="132"/>
      <c r="CQ342" s="128"/>
      <c r="CR342" s="129"/>
      <c r="CT342" s="132"/>
      <c r="CU342" s="128"/>
      <c r="CV342" s="129"/>
      <c r="CX342" s="132"/>
      <c r="CY342" s="128"/>
      <c r="CZ342" s="129"/>
      <c r="DB342" s="132"/>
      <c r="DC342" s="128"/>
      <c r="DD342" s="129"/>
      <c r="DF342" s="132"/>
      <c r="DG342" s="85"/>
      <c r="DH342" s="85"/>
      <c r="DI342" s="84"/>
      <c r="DK342" s="84"/>
      <c r="DP342" s="84"/>
      <c r="DU342" s="84"/>
      <c r="DY342" s="84"/>
      <c r="EC342" s="84"/>
      <c r="EG342" s="84"/>
      <c r="EK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128"/>
      <c r="AA343" s="129"/>
      <c r="AC343" s="130"/>
      <c r="AD343" s="128"/>
      <c r="AE343" s="129"/>
      <c r="AG343" s="130"/>
      <c r="AH343" s="128"/>
      <c r="AI343" s="129"/>
      <c r="AK343" s="130"/>
      <c r="AL343" s="128"/>
      <c r="AM343" s="129"/>
      <c r="AO343" s="130"/>
      <c r="AP343" s="128"/>
      <c r="AQ343" s="129"/>
      <c r="AS343" s="130"/>
      <c r="AT343" s="128"/>
      <c r="AU343" s="129"/>
      <c r="AW343" s="130"/>
      <c r="AX343" s="85"/>
      <c r="AY343" s="84"/>
      <c r="AZ343" s="84"/>
      <c r="BA343" s="131"/>
      <c r="BB343" s="84"/>
      <c r="BE343" s="84"/>
      <c r="BI343" s="86"/>
      <c r="BO343" s="84"/>
      <c r="BT343" s="84"/>
      <c r="BY343" s="84"/>
      <c r="CD343" s="84"/>
      <c r="CI343" s="128"/>
      <c r="CJ343" s="129"/>
      <c r="CL343" s="132"/>
      <c r="CM343" s="128"/>
      <c r="CN343" s="129"/>
      <c r="CP343" s="132"/>
      <c r="CQ343" s="128"/>
      <c r="CR343" s="129"/>
      <c r="CT343" s="132"/>
      <c r="CU343" s="128"/>
      <c r="CV343" s="129"/>
      <c r="CX343" s="132"/>
      <c r="CY343" s="128"/>
      <c r="CZ343" s="129"/>
      <c r="DB343" s="132"/>
      <c r="DC343" s="128"/>
      <c r="DD343" s="129"/>
      <c r="DF343" s="132"/>
      <c r="DG343" s="85"/>
      <c r="DH343" s="85"/>
      <c r="DI343" s="84"/>
      <c r="DK343" s="84"/>
      <c r="DP343" s="84"/>
      <c r="DU343" s="84"/>
      <c r="DY343" s="84"/>
      <c r="EC343" s="84"/>
      <c r="EG343" s="84"/>
      <c r="EK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128"/>
      <c r="AA344" s="129"/>
      <c r="AC344" s="130"/>
      <c r="AD344" s="128"/>
      <c r="AE344" s="129"/>
      <c r="AG344" s="130"/>
      <c r="AH344" s="128"/>
      <c r="AI344" s="129"/>
      <c r="AK344" s="130"/>
      <c r="AL344" s="128"/>
      <c r="AM344" s="129"/>
      <c r="AO344" s="130"/>
      <c r="AP344" s="128"/>
      <c r="AQ344" s="129"/>
      <c r="AS344" s="130"/>
      <c r="AT344" s="128"/>
      <c r="AU344" s="129"/>
      <c r="AW344" s="130"/>
      <c r="AX344" s="85"/>
      <c r="AY344" s="84"/>
      <c r="AZ344" s="84"/>
      <c r="BA344" s="131"/>
      <c r="BB344" s="84"/>
      <c r="BE344" s="84"/>
      <c r="BI344" s="86"/>
      <c r="BO344" s="84"/>
      <c r="BT344" s="84"/>
      <c r="BY344" s="84"/>
      <c r="CD344" s="84"/>
      <c r="CI344" s="128"/>
      <c r="CJ344" s="129"/>
      <c r="CL344" s="132"/>
      <c r="CM344" s="128"/>
      <c r="CN344" s="129"/>
      <c r="CP344" s="132"/>
      <c r="CQ344" s="128"/>
      <c r="CR344" s="129"/>
      <c r="CT344" s="132"/>
      <c r="CU344" s="128"/>
      <c r="CV344" s="129"/>
      <c r="CX344" s="132"/>
      <c r="CY344" s="128"/>
      <c r="CZ344" s="129"/>
      <c r="DB344" s="132"/>
      <c r="DC344" s="128"/>
      <c r="DD344" s="129"/>
      <c r="DF344" s="132"/>
      <c r="DG344" s="85"/>
      <c r="DH344" s="85"/>
      <c r="DI344" s="84"/>
      <c r="DK344" s="84"/>
      <c r="DP344" s="84"/>
      <c r="DU344" s="84"/>
      <c r="DY344" s="84"/>
      <c r="EC344" s="84"/>
      <c r="EG344" s="84"/>
      <c r="EK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128"/>
      <c r="AA345" s="129"/>
      <c r="AC345" s="130"/>
      <c r="AD345" s="128"/>
      <c r="AE345" s="129"/>
      <c r="AG345" s="130"/>
      <c r="AH345" s="128"/>
      <c r="AI345" s="129"/>
      <c r="AK345" s="130"/>
      <c r="AL345" s="128"/>
      <c r="AM345" s="129"/>
      <c r="AO345" s="130"/>
      <c r="AP345" s="128"/>
      <c r="AQ345" s="129"/>
      <c r="AS345" s="130"/>
      <c r="AT345" s="128"/>
      <c r="AU345" s="129"/>
      <c r="AW345" s="130"/>
      <c r="AX345" s="85"/>
      <c r="AY345" s="84"/>
      <c r="AZ345" s="84"/>
      <c r="BA345" s="131"/>
      <c r="BB345" s="84"/>
      <c r="BE345" s="84"/>
      <c r="BI345" s="86"/>
      <c r="BO345" s="84"/>
      <c r="BT345" s="84"/>
      <c r="BY345" s="84"/>
      <c r="CD345" s="84"/>
      <c r="CI345" s="128"/>
      <c r="CJ345" s="129"/>
      <c r="CL345" s="132"/>
      <c r="CM345" s="128"/>
      <c r="CN345" s="129"/>
      <c r="CP345" s="132"/>
      <c r="CQ345" s="128"/>
      <c r="CR345" s="129"/>
      <c r="CT345" s="132"/>
      <c r="CU345" s="128"/>
      <c r="CV345" s="129"/>
      <c r="CX345" s="132"/>
      <c r="CY345" s="128"/>
      <c r="CZ345" s="129"/>
      <c r="DB345" s="132"/>
      <c r="DC345" s="128"/>
      <c r="DD345" s="129"/>
      <c r="DF345" s="132"/>
      <c r="DG345" s="85"/>
      <c r="DH345" s="85"/>
      <c r="DI345" s="84"/>
      <c r="DK345" s="84"/>
      <c r="DP345" s="84"/>
      <c r="DU345" s="84"/>
      <c r="DY345" s="84"/>
      <c r="EC345" s="84"/>
      <c r="EG345" s="84"/>
      <c r="EK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128"/>
      <c r="AA346" s="129"/>
      <c r="AC346" s="130"/>
      <c r="AD346" s="128"/>
      <c r="AE346" s="129"/>
      <c r="AG346" s="130"/>
      <c r="AH346" s="128"/>
      <c r="AI346" s="129"/>
      <c r="AK346" s="130"/>
      <c r="AL346" s="128"/>
      <c r="AM346" s="129"/>
      <c r="AO346" s="130"/>
      <c r="AP346" s="128"/>
      <c r="AQ346" s="129"/>
      <c r="AS346" s="130"/>
      <c r="AT346" s="128"/>
      <c r="AU346" s="129"/>
      <c r="AW346" s="130"/>
      <c r="AX346" s="85"/>
      <c r="AY346" s="84"/>
      <c r="AZ346" s="84"/>
      <c r="BA346" s="131"/>
      <c r="BB346" s="84"/>
      <c r="BE346" s="84"/>
      <c r="BI346" s="86"/>
      <c r="BO346" s="84"/>
      <c r="BT346" s="84"/>
      <c r="BY346" s="84"/>
      <c r="CD346" s="84"/>
      <c r="CI346" s="128"/>
      <c r="CJ346" s="129"/>
      <c r="CL346" s="132"/>
      <c r="CM346" s="128"/>
      <c r="CN346" s="129"/>
      <c r="CP346" s="132"/>
      <c r="CQ346" s="128"/>
      <c r="CR346" s="129"/>
      <c r="CT346" s="132"/>
      <c r="CU346" s="128"/>
      <c r="CV346" s="129"/>
      <c r="CX346" s="132"/>
      <c r="CY346" s="128"/>
      <c r="CZ346" s="129"/>
      <c r="DB346" s="132"/>
      <c r="DC346" s="128"/>
      <c r="DD346" s="129"/>
      <c r="DF346" s="132"/>
      <c r="DG346" s="85"/>
      <c r="DH346" s="85"/>
      <c r="DI346" s="84"/>
      <c r="DK346" s="84"/>
      <c r="DP346" s="84"/>
      <c r="DU346" s="84"/>
      <c r="DY346" s="84"/>
      <c r="EC346" s="84"/>
      <c r="EG346" s="84"/>
      <c r="EK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128"/>
      <c r="AA347" s="129"/>
      <c r="AC347" s="130"/>
      <c r="AD347" s="128"/>
      <c r="AE347" s="129"/>
      <c r="AG347" s="130"/>
      <c r="AH347" s="128"/>
      <c r="AI347" s="129"/>
      <c r="AK347" s="130"/>
      <c r="AL347" s="128"/>
      <c r="AM347" s="129"/>
      <c r="AO347" s="130"/>
      <c r="AP347" s="128"/>
      <c r="AQ347" s="129"/>
      <c r="AS347" s="130"/>
      <c r="AT347" s="128"/>
      <c r="AU347" s="129"/>
      <c r="AW347" s="130"/>
      <c r="AX347" s="85"/>
      <c r="AY347" s="84"/>
      <c r="AZ347" s="84"/>
      <c r="BA347" s="131"/>
      <c r="BB347" s="84"/>
      <c r="BE347" s="84"/>
      <c r="BI347" s="86"/>
      <c r="BO347" s="84"/>
      <c r="BT347" s="84"/>
      <c r="BY347" s="84"/>
      <c r="CD347" s="84"/>
      <c r="CI347" s="128"/>
      <c r="CJ347" s="129"/>
      <c r="CL347" s="132"/>
      <c r="CM347" s="128"/>
      <c r="CN347" s="129"/>
      <c r="CP347" s="132"/>
      <c r="CQ347" s="128"/>
      <c r="CR347" s="129"/>
      <c r="CT347" s="132"/>
      <c r="CU347" s="128"/>
      <c r="CV347" s="129"/>
      <c r="CX347" s="132"/>
      <c r="CY347" s="128"/>
      <c r="CZ347" s="129"/>
      <c r="DB347" s="132"/>
      <c r="DC347" s="128"/>
      <c r="DD347" s="129"/>
      <c r="DF347" s="132"/>
      <c r="DG347" s="85"/>
      <c r="DH347" s="85"/>
      <c r="DI347" s="84"/>
      <c r="DK347" s="84"/>
      <c r="DP347" s="84"/>
      <c r="DU347" s="84"/>
      <c r="DY347" s="84"/>
      <c r="EC347" s="84"/>
      <c r="EG347" s="84"/>
      <c r="EK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128"/>
      <c r="AA348" s="129"/>
      <c r="AC348" s="130"/>
      <c r="AD348" s="128"/>
      <c r="AE348" s="129"/>
      <c r="AG348" s="130"/>
      <c r="AH348" s="128"/>
      <c r="AI348" s="129"/>
      <c r="AK348" s="130"/>
      <c r="AL348" s="128"/>
      <c r="AM348" s="129"/>
      <c r="AO348" s="130"/>
      <c r="AP348" s="128"/>
      <c r="AQ348" s="129"/>
      <c r="AS348" s="130"/>
      <c r="AT348" s="128"/>
      <c r="AU348" s="129"/>
      <c r="AW348" s="130"/>
      <c r="AX348" s="85"/>
      <c r="AY348" s="84"/>
      <c r="AZ348" s="84"/>
      <c r="BA348" s="131"/>
      <c r="BB348" s="84"/>
      <c r="BE348" s="84"/>
      <c r="BI348" s="86"/>
      <c r="BO348" s="84"/>
      <c r="BT348" s="84"/>
      <c r="BY348" s="84"/>
      <c r="CD348" s="84"/>
      <c r="CI348" s="128"/>
      <c r="CJ348" s="129"/>
      <c r="CL348" s="132"/>
      <c r="CM348" s="128"/>
      <c r="CN348" s="129"/>
      <c r="CP348" s="132"/>
      <c r="CQ348" s="128"/>
      <c r="CR348" s="129"/>
      <c r="CT348" s="132"/>
      <c r="CU348" s="128"/>
      <c r="CV348" s="129"/>
      <c r="CX348" s="132"/>
      <c r="CY348" s="128"/>
      <c r="CZ348" s="129"/>
      <c r="DB348" s="132"/>
      <c r="DC348" s="128"/>
      <c r="DD348" s="129"/>
      <c r="DF348" s="132"/>
      <c r="DG348" s="85"/>
      <c r="DH348" s="85"/>
      <c r="DI348" s="84"/>
      <c r="DK348" s="84"/>
      <c r="DP348" s="84"/>
      <c r="DU348" s="84"/>
      <c r="DY348" s="84"/>
      <c r="EC348" s="84"/>
      <c r="EG348" s="84"/>
      <c r="EK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128"/>
      <c r="AA349" s="129"/>
      <c r="AC349" s="130"/>
      <c r="AD349" s="128"/>
      <c r="AE349" s="129"/>
      <c r="AG349" s="130"/>
      <c r="AH349" s="128"/>
      <c r="AI349" s="129"/>
      <c r="AK349" s="130"/>
      <c r="AL349" s="128"/>
      <c r="AM349" s="129"/>
      <c r="AO349" s="130"/>
      <c r="AP349" s="128"/>
      <c r="AQ349" s="129"/>
      <c r="AS349" s="130"/>
      <c r="AT349" s="128"/>
      <c r="AU349" s="129"/>
      <c r="AW349" s="130"/>
      <c r="AX349" s="85"/>
      <c r="AY349" s="84"/>
      <c r="AZ349" s="84"/>
      <c r="BA349" s="131"/>
      <c r="BB349" s="84"/>
      <c r="BE349" s="84"/>
      <c r="BI349" s="86"/>
      <c r="BO349" s="84"/>
      <c r="BT349" s="84"/>
      <c r="BY349" s="84"/>
      <c r="CD349" s="84"/>
      <c r="CI349" s="128"/>
      <c r="CJ349" s="129"/>
      <c r="CL349" s="132"/>
      <c r="CM349" s="128"/>
      <c r="CN349" s="129"/>
      <c r="CP349" s="132"/>
      <c r="CQ349" s="128"/>
      <c r="CR349" s="129"/>
      <c r="CT349" s="132"/>
      <c r="CU349" s="128"/>
      <c r="CV349" s="129"/>
      <c r="CX349" s="132"/>
      <c r="CY349" s="128"/>
      <c r="CZ349" s="129"/>
      <c r="DB349" s="132"/>
      <c r="DC349" s="128"/>
      <c r="DD349" s="129"/>
      <c r="DF349" s="132"/>
      <c r="DG349" s="85"/>
      <c r="DH349" s="85"/>
      <c r="DI349" s="84"/>
      <c r="DK349" s="84"/>
      <c r="DP349" s="84"/>
      <c r="DU349" s="84"/>
      <c r="DY349" s="84"/>
      <c r="EC349" s="84"/>
      <c r="EG349" s="84"/>
      <c r="EK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128"/>
      <c r="AA350" s="129"/>
      <c r="AC350" s="130"/>
      <c r="AD350" s="128"/>
      <c r="AE350" s="129"/>
      <c r="AG350" s="130"/>
      <c r="AH350" s="128"/>
      <c r="AI350" s="129"/>
      <c r="AK350" s="130"/>
      <c r="AL350" s="128"/>
      <c r="AM350" s="129"/>
      <c r="AO350" s="130"/>
      <c r="AP350" s="128"/>
      <c r="AQ350" s="129"/>
      <c r="AS350" s="130"/>
      <c r="AT350" s="128"/>
      <c r="AU350" s="129"/>
      <c r="AW350" s="130"/>
      <c r="AX350" s="85"/>
      <c r="AY350" s="84"/>
      <c r="AZ350" s="84"/>
      <c r="BA350" s="131"/>
      <c r="BB350" s="84"/>
      <c r="BE350" s="84"/>
      <c r="BI350" s="86"/>
      <c r="BO350" s="84"/>
      <c r="BT350" s="84"/>
      <c r="BY350" s="84"/>
      <c r="CD350" s="84"/>
      <c r="CI350" s="128"/>
      <c r="CJ350" s="129"/>
      <c r="CL350" s="132"/>
      <c r="CM350" s="128"/>
      <c r="CN350" s="129"/>
      <c r="CP350" s="132"/>
      <c r="CQ350" s="128"/>
      <c r="CR350" s="129"/>
      <c r="CT350" s="132"/>
      <c r="CU350" s="128"/>
      <c r="CV350" s="129"/>
      <c r="CX350" s="132"/>
      <c r="CY350" s="128"/>
      <c r="CZ350" s="129"/>
      <c r="DB350" s="132"/>
      <c r="DC350" s="128"/>
      <c r="DD350" s="129"/>
      <c r="DF350" s="132"/>
      <c r="DG350" s="85"/>
      <c r="DH350" s="85"/>
      <c r="DI350" s="84"/>
      <c r="DK350" s="84"/>
      <c r="DP350" s="84"/>
      <c r="DU350" s="84"/>
      <c r="DY350" s="84"/>
      <c r="EC350" s="84"/>
      <c r="EG350" s="84"/>
      <c r="EK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128"/>
      <c r="AA351" s="129"/>
      <c r="AC351" s="130"/>
      <c r="AD351" s="128"/>
      <c r="AE351" s="129"/>
      <c r="AG351" s="130"/>
      <c r="AH351" s="128"/>
      <c r="AI351" s="129"/>
      <c r="AK351" s="130"/>
      <c r="AL351" s="128"/>
      <c r="AM351" s="129"/>
      <c r="AO351" s="130"/>
      <c r="AP351" s="128"/>
      <c r="AQ351" s="129"/>
      <c r="AS351" s="130"/>
      <c r="AT351" s="128"/>
      <c r="AU351" s="129"/>
      <c r="AW351" s="130"/>
      <c r="AX351" s="85"/>
      <c r="AY351" s="84"/>
      <c r="AZ351" s="84"/>
      <c r="BA351" s="131"/>
      <c r="BB351" s="84"/>
      <c r="BE351" s="84"/>
      <c r="BI351" s="86"/>
      <c r="BO351" s="84"/>
      <c r="BT351" s="84"/>
      <c r="BY351" s="84"/>
      <c r="CD351" s="84"/>
      <c r="CI351" s="128"/>
      <c r="CJ351" s="129"/>
      <c r="CL351" s="132"/>
      <c r="CM351" s="128"/>
      <c r="CN351" s="129"/>
      <c r="CP351" s="132"/>
      <c r="CQ351" s="128"/>
      <c r="CR351" s="129"/>
      <c r="CT351" s="132"/>
      <c r="CU351" s="128"/>
      <c r="CV351" s="129"/>
      <c r="CX351" s="132"/>
      <c r="CY351" s="128"/>
      <c r="CZ351" s="129"/>
      <c r="DB351" s="132"/>
      <c r="DC351" s="128"/>
      <c r="DD351" s="129"/>
      <c r="DF351" s="132"/>
      <c r="DG351" s="85"/>
      <c r="DH351" s="85"/>
      <c r="DI351" s="84"/>
      <c r="DK351" s="84"/>
      <c r="DP351" s="84"/>
      <c r="DU351" s="84"/>
      <c r="DY351" s="84"/>
      <c r="EC351" s="84"/>
      <c r="EG351" s="84"/>
      <c r="EK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128"/>
      <c r="AA352" s="129"/>
      <c r="AC352" s="130"/>
      <c r="AD352" s="128"/>
      <c r="AE352" s="129"/>
      <c r="AG352" s="130"/>
      <c r="AH352" s="128"/>
      <c r="AI352" s="129"/>
      <c r="AK352" s="130"/>
      <c r="AL352" s="128"/>
      <c r="AM352" s="129"/>
      <c r="AO352" s="130"/>
      <c r="AP352" s="128"/>
      <c r="AQ352" s="129"/>
      <c r="AS352" s="130"/>
      <c r="AT352" s="128"/>
      <c r="AU352" s="129"/>
      <c r="AW352" s="130"/>
      <c r="AX352" s="85"/>
      <c r="AY352" s="84"/>
      <c r="AZ352" s="84"/>
      <c r="BA352" s="131"/>
      <c r="BB352" s="84"/>
      <c r="BE352" s="84"/>
      <c r="BI352" s="86"/>
      <c r="BO352" s="84"/>
      <c r="BT352" s="84"/>
      <c r="BY352" s="84"/>
      <c r="CD352" s="84"/>
      <c r="CI352" s="128"/>
      <c r="CJ352" s="129"/>
      <c r="CL352" s="132"/>
      <c r="CM352" s="128"/>
      <c r="CN352" s="129"/>
      <c r="CP352" s="132"/>
      <c r="CQ352" s="128"/>
      <c r="CR352" s="129"/>
      <c r="CT352" s="132"/>
      <c r="CU352" s="128"/>
      <c r="CV352" s="129"/>
      <c r="CX352" s="132"/>
      <c r="CY352" s="128"/>
      <c r="CZ352" s="129"/>
      <c r="DB352" s="132"/>
      <c r="DC352" s="128"/>
      <c r="DD352" s="129"/>
      <c r="DF352" s="132"/>
      <c r="DG352" s="85"/>
      <c r="DH352" s="85"/>
      <c r="DI352" s="84"/>
      <c r="DK352" s="84"/>
      <c r="DP352" s="84"/>
      <c r="DU352" s="84"/>
      <c r="DY352" s="84"/>
      <c r="EC352" s="84"/>
      <c r="EG352" s="84"/>
      <c r="EK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128"/>
      <c r="AA353" s="129"/>
      <c r="AC353" s="130"/>
      <c r="AD353" s="128"/>
      <c r="AE353" s="129"/>
      <c r="AG353" s="130"/>
      <c r="AH353" s="128"/>
      <c r="AI353" s="129"/>
      <c r="AK353" s="130"/>
      <c r="AL353" s="128"/>
      <c r="AM353" s="129"/>
      <c r="AO353" s="130"/>
      <c r="AP353" s="128"/>
      <c r="AQ353" s="129"/>
      <c r="AS353" s="130"/>
      <c r="AT353" s="128"/>
      <c r="AU353" s="129"/>
      <c r="AW353" s="130"/>
      <c r="AX353" s="85"/>
      <c r="AY353" s="84"/>
      <c r="AZ353" s="84"/>
      <c r="BA353" s="131"/>
      <c r="BB353" s="84"/>
      <c r="BE353" s="84"/>
      <c r="BI353" s="86"/>
      <c r="BO353" s="84"/>
      <c r="BT353" s="84"/>
      <c r="BY353" s="84"/>
      <c r="CD353" s="84"/>
      <c r="CI353" s="128"/>
      <c r="CJ353" s="129"/>
      <c r="CL353" s="132"/>
      <c r="CM353" s="128"/>
      <c r="CN353" s="129"/>
      <c r="CP353" s="132"/>
      <c r="CQ353" s="128"/>
      <c r="CR353" s="129"/>
      <c r="CT353" s="132"/>
      <c r="CU353" s="128"/>
      <c r="CV353" s="129"/>
      <c r="CX353" s="132"/>
      <c r="CY353" s="128"/>
      <c r="CZ353" s="129"/>
      <c r="DB353" s="132"/>
      <c r="DC353" s="128"/>
      <c r="DD353" s="129"/>
      <c r="DF353" s="132"/>
      <c r="DG353" s="85"/>
      <c r="DH353" s="85"/>
      <c r="DI353" s="84"/>
      <c r="DK353" s="84"/>
      <c r="DP353" s="84"/>
      <c r="DU353" s="84"/>
      <c r="DY353" s="84"/>
      <c r="EC353" s="84"/>
      <c r="EG353" s="84"/>
      <c r="EK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128"/>
      <c r="AA354" s="129"/>
      <c r="AC354" s="130"/>
      <c r="AD354" s="128"/>
      <c r="AE354" s="129"/>
      <c r="AG354" s="130"/>
      <c r="AH354" s="128"/>
      <c r="AI354" s="129"/>
      <c r="AK354" s="130"/>
      <c r="AL354" s="128"/>
      <c r="AM354" s="129"/>
      <c r="AO354" s="130"/>
      <c r="AP354" s="128"/>
      <c r="AQ354" s="129"/>
      <c r="AS354" s="130"/>
      <c r="AT354" s="128"/>
      <c r="AU354" s="129"/>
      <c r="AW354" s="130"/>
      <c r="AX354" s="85"/>
      <c r="AY354" s="84"/>
      <c r="AZ354" s="84"/>
      <c r="BA354" s="131"/>
      <c r="BB354" s="84"/>
      <c r="BE354" s="84"/>
      <c r="BI354" s="86"/>
      <c r="BO354" s="84"/>
      <c r="BT354" s="84"/>
      <c r="BY354" s="84"/>
      <c r="CD354" s="84"/>
      <c r="CI354" s="128"/>
      <c r="CJ354" s="129"/>
      <c r="CL354" s="132"/>
      <c r="CM354" s="128"/>
      <c r="CN354" s="129"/>
      <c r="CP354" s="132"/>
      <c r="CQ354" s="128"/>
      <c r="CR354" s="129"/>
      <c r="CT354" s="132"/>
      <c r="CU354" s="128"/>
      <c r="CV354" s="129"/>
      <c r="CX354" s="132"/>
      <c r="CY354" s="128"/>
      <c r="CZ354" s="129"/>
      <c r="DB354" s="132"/>
      <c r="DC354" s="128"/>
      <c r="DD354" s="129"/>
      <c r="DF354" s="132"/>
      <c r="DG354" s="85"/>
      <c r="DH354" s="85"/>
      <c r="DI354" s="84"/>
      <c r="DK354" s="84"/>
      <c r="DP354" s="84"/>
      <c r="DU354" s="84"/>
      <c r="DY354" s="84"/>
      <c r="EC354" s="84"/>
      <c r="EG354" s="84"/>
      <c r="EK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128"/>
      <c r="AA355" s="129"/>
      <c r="AC355" s="130"/>
      <c r="AD355" s="128"/>
      <c r="AE355" s="129"/>
      <c r="AG355" s="130"/>
      <c r="AH355" s="128"/>
      <c r="AI355" s="129"/>
      <c r="AK355" s="130"/>
      <c r="AL355" s="128"/>
      <c r="AM355" s="129"/>
      <c r="AO355" s="130"/>
      <c r="AP355" s="128"/>
      <c r="AQ355" s="129"/>
      <c r="AS355" s="130"/>
      <c r="AT355" s="128"/>
      <c r="AU355" s="129"/>
      <c r="AW355" s="130"/>
      <c r="AX355" s="85"/>
      <c r="AY355" s="84"/>
      <c r="AZ355" s="84"/>
      <c r="BA355" s="131"/>
      <c r="BB355" s="84"/>
      <c r="BE355" s="84"/>
      <c r="BI355" s="86"/>
      <c r="BO355" s="84"/>
      <c r="BT355" s="84"/>
      <c r="BY355" s="84"/>
      <c r="CD355" s="84"/>
      <c r="CI355" s="128"/>
      <c r="CJ355" s="129"/>
      <c r="CL355" s="132"/>
      <c r="CM355" s="128"/>
      <c r="CN355" s="129"/>
      <c r="CP355" s="132"/>
      <c r="CQ355" s="128"/>
      <c r="CR355" s="129"/>
      <c r="CT355" s="132"/>
      <c r="CU355" s="128"/>
      <c r="CV355" s="129"/>
      <c r="CX355" s="132"/>
      <c r="CY355" s="128"/>
      <c r="CZ355" s="129"/>
      <c r="DB355" s="132"/>
      <c r="DC355" s="128"/>
      <c r="DD355" s="129"/>
      <c r="DF355" s="132"/>
      <c r="DG355" s="85"/>
      <c r="DH355" s="85"/>
      <c r="DI355" s="84"/>
      <c r="DK355" s="84"/>
      <c r="DP355" s="84"/>
      <c r="DU355" s="84"/>
      <c r="DY355" s="84"/>
      <c r="EC355" s="84"/>
      <c r="EG355" s="84"/>
      <c r="EK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128"/>
      <c r="AA356" s="129"/>
      <c r="AC356" s="130"/>
      <c r="AD356" s="128"/>
      <c r="AE356" s="129"/>
      <c r="AG356" s="130"/>
      <c r="AH356" s="128"/>
      <c r="AI356" s="129"/>
      <c r="AK356" s="130"/>
      <c r="AL356" s="128"/>
      <c r="AM356" s="129"/>
      <c r="AO356" s="130"/>
      <c r="AP356" s="128"/>
      <c r="AQ356" s="129"/>
      <c r="AS356" s="130"/>
      <c r="AT356" s="128"/>
      <c r="AU356" s="129"/>
      <c r="AW356" s="130"/>
      <c r="AX356" s="85"/>
      <c r="AY356" s="84"/>
      <c r="AZ356" s="84"/>
      <c r="BA356" s="131"/>
      <c r="BB356" s="84"/>
      <c r="BE356" s="84"/>
      <c r="BI356" s="86"/>
      <c r="BO356" s="84"/>
      <c r="BT356" s="84"/>
      <c r="BY356" s="84"/>
      <c r="CD356" s="84"/>
      <c r="CI356" s="128"/>
      <c r="CJ356" s="129"/>
      <c r="CL356" s="132"/>
      <c r="CM356" s="128"/>
      <c r="CN356" s="129"/>
      <c r="CP356" s="132"/>
      <c r="CQ356" s="128"/>
      <c r="CR356" s="129"/>
      <c r="CT356" s="132"/>
      <c r="CU356" s="128"/>
      <c r="CV356" s="129"/>
      <c r="CX356" s="132"/>
      <c r="CY356" s="128"/>
      <c r="CZ356" s="129"/>
      <c r="DB356" s="132"/>
      <c r="DC356" s="128"/>
      <c r="DD356" s="129"/>
      <c r="DF356" s="132"/>
      <c r="DG356" s="85"/>
      <c r="DH356" s="85"/>
      <c r="DI356" s="84"/>
      <c r="DK356" s="84"/>
      <c r="DP356" s="84"/>
      <c r="DU356" s="84"/>
      <c r="DY356" s="84"/>
      <c r="EC356" s="84"/>
      <c r="EG356" s="84"/>
      <c r="EK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128"/>
      <c r="AA357" s="129"/>
      <c r="AC357" s="130"/>
      <c r="AD357" s="128"/>
      <c r="AE357" s="129"/>
      <c r="AG357" s="130"/>
      <c r="AH357" s="128"/>
      <c r="AI357" s="129"/>
      <c r="AK357" s="130"/>
      <c r="AL357" s="128"/>
      <c r="AM357" s="129"/>
      <c r="AO357" s="130"/>
      <c r="AP357" s="128"/>
      <c r="AQ357" s="129"/>
      <c r="AS357" s="130"/>
      <c r="AT357" s="128"/>
      <c r="AU357" s="129"/>
      <c r="AW357" s="130"/>
      <c r="AX357" s="85"/>
      <c r="AY357" s="84"/>
      <c r="AZ357" s="84"/>
      <c r="BA357" s="131"/>
      <c r="BB357" s="84"/>
      <c r="BE357" s="84"/>
      <c r="BI357" s="86"/>
      <c r="BO357" s="84"/>
      <c r="BT357" s="84"/>
      <c r="BY357" s="84"/>
      <c r="CD357" s="84"/>
      <c r="CI357" s="128"/>
      <c r="CJ357" s="129"/>
      <c r="CL357" s="132"/>
      <c r="CM357" s="128"/>
      <c r="CN357" s="129"/>
      <c r="CP357" s="132"/>
      <c r="CQ357" s="128"/>
      <c r="CR357" s="129"/>
      <c r="CT357" s="132"/>
      <c r="CU357" s="128"/>
      <c r="CV357" s="129"/>
      <c r="CX357" s="132"/>
      <c r="CY357" s="128"/>
      <c r="CZ357" s="129"/>
      <c r="DB357" s="132"/>
      <c r="DC357" s="128"/>
      <c r="DD357" s="129"/>
      <c r="DF357" s="132"/>
      <c r="DG357" s="85"/>
      <c r="DH357" s="85"/>
      <c r="DI357" s="84"/>
      <c r="DK357" s="84"/>
      <c r="DP357" s="84"/>
      <c r="DU357" s="84"/>
      <c r="DY357" s="84"/>
      <c r="EC357" s="84"/>
      <c r="EG357" s="84"/>
      <c r="EK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128"/>
      <c r="AA358" s="129"/>
      <c r="AC358" s="130"/>
      <c r="AD358" s="128"/>
      <c r="AE358" s="129"/>
      <c r="AG358" s="130"/>
      <c r="AH358" s="128"/>
      <c r="AI358" s="129"/>
      <c r="AK358" s="130"/>
      <c r="AL358" s="128"/>
      <c r="AM358" s="129"/>
      <c r="AO358" s="130"/>
      <c r="AP358" s="128"/>
      <c r="AQ358" s="129"/>
      <c r="AS358" s="130"/>
      <c r="AT358" s="128"/>
      <c r="AU358" s="129"/>
      <c r="AW358" s="130"/>
      <c r="AX358" s="85"/>
      <c r="AY358" s="84"/>
      <c r="AZ358" s="84"/>
      <c r="BA358" s="131"/>
      <c r="BB358" s="84"/>
      <c r="BE358" s="84"/>
      <c r="BI358" s="86"/>
      <c r="BO358" s="84"/>
      <c r="BT358" s="84"/>
      <c r="BY358" s="84"/>
      <c r="CD358" s="84"/>
      <c r="CI358" s="128"/>
      <c r="CJ358" s="129"/>
      <c r="CL358" s="132"/>
      <c r="CM358" s="128"/>
      <c r="CN358" s="129"/>
      <c r="CP358" s="132"/>
      <c r="CQ358" s="128"/>
      <c r="CR358" s="129"/>
      <c r="CT358" s="132"/>
      <c r="CU358" s="128"/>
      <c r="CV358" s="129"/>
      <c r="CX358" s="132"/>
      <c r="CY358" s="128"/>
      <c r="CZ358" s="129"/>
      <c r="DB358" s="132"/>
      <c r="DC358" s="128"/>
      <c r="DD358" s="129"/>
      <c r="DF358" s="132"/>
      <c r="DG358" s="85"/>
      <c r="DH358" s="85"/>
      <c r="DI358" s="84"/>
      <c r="DK358" s="84"/>
      <c r="DP358" s="84"/>
      <c r="DU358" s="84"/>
      <c r="DY358" s="84"/>
      <c r="EC358" s="84"/>
      <c r="EG358" s="84"/>
      <c r="EK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128"/>
      <c r="AA359" s="129"/>
      <c r="AC359" s="130"/>
      <c r="AD359" s="128"/>
      <c r="AE359" s="129"/>
      <c r="AG359" s="130"/>
      <c r="AH359" s="128"/>
      <c r="AI359" s="129"/>
      <c r="AK359" s="130"/>
      <c r="AL359" s="128"/>
      <c r="AM359" s="129"/>
      <c r="AO359" s="130"/>
      <c r="AP359" s="128"/>
      <c r="AQ359" s="129"/>
      <c r="AS359" s="130"/>
      <c r="AT359" s="128"/>
      <c r="AU359" s="129"/>
      <c r="AW359" s="130"/>
      <c r="AX359" s="85"/>
      <c r="AY359" s="84"/>
      <c r="AZ359" s="84"/>
      <c r="BA359" s="131"/>
      <c r="BB359" s="84"/>
      <c r="BE359" s="84"/>
      <c r="BI359" s="86"/>
      <c r="BO359" s="84"/>
      <c r="BT359" s="84"/>
      <c r="BY359" s="84"/>
      <c r="CD359" s="84"/>
      <c r="CI359" s="128"/>
      <c r="CJ359" s="129"/>
      <c r="CL359" s="132"/>
      <c r="CM359" s="128"/>
      <c r="CN359" s="129"/>
      <c r="CP359" s="132"/>
      <c r="CQ359" s="128"/>
      <c r="CR359" s="129"/>
      <c r="CT359" s="132"/>
      <c r="CU359" s="128"/>
      <c r="CV359" s="129"/>
      <c r="CX359" s="132"/>
      <c r="CY359" s="128"/>
      <c r="CZ359" s="129"/>
      <c r="DB359" s="132"/>
      <c r="DC359" s="128"/>
      <c r="DD359" s="129"/>
      <c r="DF359" s="132"/>
      <c r="DG359" s="85"/>
      <c r="DH359" s="85"/>
      <c r="DI359" s="84"/>
      <c r="DK359" s="84"/>
      <c r="DP359" s="84"/>
      <c r="DU359" s="84"/>
      <c r="DY359" s="84"/>
      <c r="EC359" s="84"/>
      <c r="EG359" s="84"/>
      <c r="EK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128"/>
      <c r="AA360" s="129"/>
      <c r="AC360" s="130"/>
      <c r="AD360" s="128"/>
      <c r="AE360" s="129"/>
      <c r="AG360" s="130"/>
      <c r="AH360" s="128"/>
      <c r="AI360" s="129"/>
      <c r="AK360" s="130"/>
      <c r="AL360" s="128"/>
      <c r="AM360" s="129"/>
      <c r="AO360" s="130"/>
      <c r="AP360" s="128"/>
      <c r="AQ360" s="129"/>
      <c r="AS360" s="130"/>
      <c r="AT360" s="128"/>
      <c r="AU360" s="129"/>
      <c r="AW360" s="130"/>
      <c r="AX360" s="85"/>
      <c r="AY360" s="84"/>
      <c r="AZ360" s="84"/>
      <c r="BA360" s="131"/>
      <c r="BB360" s="84"/>
      <c r="BE360" s="84"/>
      <c r="BI360" s="86"/>
      <c r="BO360" s="84"/>
      <c r="BT360" s="84"/>
      <c r="BY360" s="84"/>
      <c r="CD360" s="84"/>
      <c r="CI360" s="128"/>
      <c r="CJ360" s="129"/>
      <c r="CL360" s="132"/>
      <c r="CM360" s="128"/>
      <c r="CN360" s="129"/>
      <c r="CP360" s="132"/>
      <c r="CQ360" s="128"/>
      <c r="CR360" s="129"/>
      <c r="CT360" s="132"/>
      <c r="CU360" s="128"/>
      <c r="CV360" s="129"/>
      <c r="CX360" s="132"/>
      <c r="CY360" s="128"/>
      <c r="CZ360" s="129"/>
      <c r="DB360" s="132"/>
      <c r="DC360" s="128"/>
      <c r="DD360" s="129"/>
      <c r="DF360" s="132"/>
      <c r="DG360" s="85"/>
      <c r="DH360" s="85"/>
      <c r="DI360" s="84"/>
      <c r="DK360" s="84"/>
      <c r="DP360" s="84"/>
      <c r="DU360" s="84"/>
      <c r="DY360" s="84"/>
      <c r="EC360" s="84"/>
      <c r="EG360" s="84"/>
      <c r="EK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128"/>
      <c r="AA361" s="129"/>
      <c r="AC361" s="130"/>
      <c r="AD361" s="128"/>
      <c r="AE361" s="129"/>
      <c r="AG361" s="130"/>
      <c r="AH361" s="128"/>
      <c r="AI361" s="129"/>
      <c r="AK361" s="130"/>
      <c r="AL361" s="128"/>
      <c r="AM361" s="129"/>
      <c r="AO361" s="130"/>
      <c r="AP361" s="128"/>
      <c r="AQ361" s="129"/>
      <c r="AS361" s="130"/>
      <c r="AT361" s="128"/>
      <c r="AU361" s="129"/>
      <c r="AW361" s="130"/>
      <c r="AX361" s="85"/>
      <c r="AY361" s="84"/>
      <c r="AZ361" s="84"/>
      <c r="BA361" s="131"/>
      <c r="BB361" s="84"/>
      <c r="BE361" s="84"/>
      <c r="BI361" s="86"/>
      <c r="BO361" s="84"/>
      <c r="BT361" s="84"/>
      <c r="BY361" s="84"/>
      <c r="CD361" s="84"/>
      <c r="CI361" s="128"/>
      <c r="CJ361" s="129"/>
      <c r="CL361" s="132"/>
      <c r="CM361" s="128"/>
      <c r="CN361" s="129"/>
      <c r="CP361" s="132"/>
      <c r="CQ361" s="128"/>
      <c r="CR361" s="129"/>
      <c r="CT361" s="132"/>
      <c r="CU361" s="128"/>
      <c r="CV361" s="129"/>
      <c r="CX361" s="132"/>
      <c r="CY361" s="128"/>
      <c r="CZ361" s="129"/>
      <c r="DB361" s="132"/>
      <c r="DC361" s="128"/>
      <c r="DD361" s="129"/>
      <c r="DF361" s="132"/>
      <c r="DG361" s="85"/>
      <c r="DH361" s="85"/>
      <c r="DI361" s="84"/>
      <c r="DK361" s="84"/>
      <c r="DP361" s="84"/>
      <c r="DU361" s="84"/>
      <c r="DY361" s="84"/>
      <c r="EC361" s="84"/>
      <c r="EG361" s="84"/>
      <c r="EK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128"/>
      <c r="AA362" s="129"/>
      <c r="AC362" s="130"/>
      <c r="AD362" s="128"/>
      <c r="AE362" s="129"/>
      <c r="AG362" s="130"/>
      <c r="AH362" s="128"/>
      <c r="AI362" s="129"/>
      <c r="AK362" s="130"/>
      <c r="AL362" s="128"/>
      <c r="AM362" s="129"/>
      <c r="AO362" s="130"/>
      <c r="AP362" s="128"/>
      <c r="AQ362" s="129"/>
      <c r="AS362" s="130"/>
      <c r="AT362" s="128"/>
      <c r="AU362" s="129"/>
      <c r="AW362" s="130"/>
      <c r="AX362" s="85"/>
      <c r="AY362" s="84"/>
      <c r="AZ362" s="84"/>
      <c r="BA362" s="131"/>
      <c r="BB362" s="84"/>
      <c r="BE362" s="84"/>
      <c r="BI362" s="86"/>
      <c r="BO362" s="84"/>
      <c r="BT362" s="84"/>
      <c r="BY362" s="84"/>
      <c r="CD362" s="84"/>
      <c r="CI362" s="128"/>
      <c r="CJ362" s="129"/>
      <c r="CL362" s="132"/>
      <c r="CM362" s="128"/>
      <c r="CN362" s="129"/>
      <c r="CP362" s="132"/>
      <c r="CQ362" s="128"/>
      <c r="CR362" s="129"/>
      <c r="CT362" s="132"/>
      <c r="CU362" s="128"/>
      <c r="CV362" s="129"/>
      <c r="CX362" s="132"/>
      <c r="CY362" s="128"/>
      <c r="CZ362" s="129"/>
      <c r="DB362" s="132"/>
      <c r="DC362" s="128"/>
      <c r="DD362" s="129"/>
      <c r="DF362" s="132"/>
      <c r="DG362" s="85"/>
      <c r="DH362" s="85"/>
      <c r="DI362" s="84"/>
      <c r="DK362" s="84"/>
      <c r="DP362" s="84"/>
      <c r="DU362" s="84"/>
      <c r="DY362" s="84"/>
      <c r="EC362" s="84"/>
      <c r="EG362" s="84"/>
      <c r="EK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128"/>
      <c r="AA363" s="129"/>
      <c r="AC363" s="130"/>
      <c r="AD363" s="128"/>
      <c r="AE363" s="129"/>
      <c r="AG363" s="130"/>
      <c r="AH363" s="128"/>
      <c r="AI363" s="129"/>
      <c r="AK363" s="130"/>
      <c r="AL363" s="128"/>
      <c r="AM363" s="129"/>
      <c r="AO363" s="130"/>
      <c r="AP363" s="128"/>
      <c r="AQ363" s="129"/>
      <c r="AS363" s="130"/>
      <c r="AT363" s="128"/>
      <c r="AU363" s="129"/>
      <c r="AW363" s="130"/>
      <c r="AX363" s="85"/>
      <c r="AY363" s="84"/>
      <c r="AZ363" s="84"/>
      <c r="BA363" s="131"/>
      <c r="BB363" s="84"/>
      <c r="BE363" s="84"/>
      <c r="BI363" s="86"/>
      <c r="BO363" s="84"/>
      <c r="BT363" s="84"/>
      <c r="BY363" s="84"/>
      <c r="CD363" s="84"/>
      <c r="CI363" s="128"/>
      <c r="CJ363" s="129"/>
      <c r="CL363" s="132"/>
      <c r="CM363" s="128"/>
      <c r="CN363" s="129"/>
      <c r="CP363" s="132"/>
      <c r="CQ363" s="128"/>
      <c r="CR363" s="129"/>
      <c r="CT363" s="132"/>
      <c r="CU363" s="128"/>
      <c r="CV363" s="129"/>
      <c r="CX363" s="132"/>
      <c r="CY363" s="128"/>
      <c r="CZ363" s="129"/>
      <c r="DB363" s="132"/>
      <c r="DC363" s="128"/>
      <c r="DD363" s="129"/>
      <c r="DF363" s="132"/>
      <c r="DG363" s="85"/>
      <c r="DH363" s="85"/>
      <c r="DI363" s="84"/>
      <c r="DK363" s="84"/>
      <c r="DP363" s="84"/>
      <c r="DU363" s="84"/>
      <c r="DY363" s="84"/>
      <c r="EC363" s="84"/>
      <c r="EG363" s="84"/>
      <c r="EK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128"/>
      <c r="AA364" s="129"/>
      <c r="AC364" s="130"/>
      <c r="AD364" s="128"/>
      <c r="AE364" s="129"/>
      <c r="AG364" s="130"/>
      <c r="AH364" s="128"/>
      <c r="AI364" s="129"/>
      <c r="AK364" s="130"/>
      <c r="AL364" s="128"/>
      <c r="AM364" s="129"/>
      <c r="AO364" s="130"/>
      <c r="AP364" s="128"/>
      <c r="AQ364" s="129"/>
      <c r="AS364" s="130"/>
      <c r="AT364" s="128"/>
      <c r="AU364" s="129"/>
      <c r="AW364" s="130"/>
      <c r="AX364" s="85"/>
      <c r="AY364" s="84"/>
      <c r="AZ364" s="84"/>
      <c r="BA364" s="131"/>
      <c r="BB364" s="84"/>
      <c r="BE364" s="84"/>
      <c r="BI364" s="86"/>
      <c r="BO364" s="84"/>
      <c r="BT364" s="84"/>
      <c r="BY364" s="84"/>
      <c r="CD364" s="84"/>
      <c r="CI364" s="128"/>
      <c r="CJ364" s="129"/>
      <c r="CL364" s="132"/>
      <c r="CM364" s="128"/>
      <c r="CN364" s="129"/>
      <c r="CP364" s="132"/>
      <c r="CQ364" s="128"/>
      <c r="CR364" s="129"/>
      <c r="CT364" s="132"/>
      <c r="CU364" s="128"/>
      <c r="CV364" s="129"/>
      <c r="CX364" s="132"/>
      <c r="CY364" s="128"/>
      <c r="CZ364" s="129"/>
      <c r="DB364" s="132"/>
      <c r="DC364" s="128"/>
      <c r="DD364" s="129"/>
      <c r="DF364" s="132"/>
      <c r="DG364" s="85"/>
      <c r="DH364" s="85"/>
      <c r="DI364" s="84"/>
      <c r="DK364" s="84"/>
      <c r="DP364" s="84"/>
      <c r="DU364" s="84"/>
      <c r="DY364" s="84"/>
      <c r="EC364" s="84"/>
      <c r="EG364" s="84"/>
      <c r="EK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128"/>
      <c r="AA365" s="129"/>
      <c r="AC365" s="130"/>
      <c r="AD365" s="128"/>
      <c r="AE365" s="129"/>
      <c r="AG365" s="130"/>
      <c r="AH365" s="128"/>
      <c r="AI365" s="129"/>
      <c r="AK365" s="130"/>
      <c r="AL365" s="128"/>
      <c r="AM365" s="129"/>
      <c r="AO365" s="130"/>
      <c r="AP365" s="128"/>
      <c r="AQ365" s="129"/>
      <c r="AS365" s="130"/>
      <c r="AT365" s="128"/>
      <c r="AU365" s="129"/>
      <c r="AW365" s="130"/>
      <c r="AX365" s="85"/>
      <c r="AY365" s="84"/>
      <c r="AZ365" s="84"/>
      <c r="BA365" s="131"/>
      <c r="BB365" s="84"/>
      <c r="BE365" s="84"/>
      <c r="BI365" s="86"/>
      <c r="BO365" s="84"/>
      <c r="BT365" s="84"/>
      <c r="BY365" s="84"/>
      <c r="CD365" s="84"/>
      <c r="CI365" s="128"/>
      <c r="CJ365" s="129"/>
      <c r="CL365" s="132"/>
      <c r="CM365" s="128"/>
      <c r="CN365" s="129"/>
      <c r="CP365" s="132"/>
      <c r="CQ365" s="128"/>
      <c r="CR365" s="129"/>
      <c r="CT365" s="132"/>
      <c r="CU365" s="128"/>
      <c r="CV365" s="129"/>
      <c r="CX365" s="132"/>
      <c r="CY365" s="128"/>
      <c r="CZ365" s="129"/>
      <c r="DB365" s="132"/>
      <c r="DC365" s="128"/>
      <c r="DD365" s="129"/>
      <c r="DF365" s="132"/>
      <c r="DG365" s="85"/>
      <c r="DH365" s="85"/>
      <c r="DI365" s="84"/>
      <c r="DK365" s="84"/>
      <c r="DP365" s="84"/>
      <c r="DU365" s="84"/>
      <c r="DY365" s="84"/>
      <c r="EC365" s="84"/>
      <c r="EG365" s="84"/>
      <c r="EK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128"/>
      <c r="AA366" s="129"/>
      <c r="AC366" s="130"/>
      <c r="AD366" s="128"/>
      <c r="AE366" s="129"/>
      <c r="AG366" s="130"/>
      <c r="AH366" s="128"/>
      <c r="AI366" s="129"/>
      <c r="AK366" s="130"/>
      <c r="AL366" s="128"/>
      <c r="AM366" s="129"/>
      <c r="AO366" s="130"/>
      <c r="AP366" s="128"/>
      <c r="AQ366" s="129"/>
      <c r="AS366" s="130"/>
      <c r="AT366" s="128"/>
      <c r="AU366" s="129"/>
      <c r="AW366" s="130"/>
      <c r="AX366" s="85"/>
      <c r="AY366" s="84"/>
      <c r="AZ366" s="84"/>
      <c r="BA366" s="131"/>
      <c r="BB366" s="84"/>
      <c r="BE366" s="84"/>
      <c r="BI366" s="86"/>
      <c r="BO366" s="84"/>
      <c r="BT366" s="84"/>
      <c r="BY366" s="84"/>
      <c r="CD366" s="84"/>
      <c r="CI366" s="128"/>
      <c r="CJ366" s="129"/>
      <c r="CL366" s="132"/>
      <c r="CM366" s="128"/>
      <c r="CN366" s="129"/>
      <c r="CP366" s="132"/>
      <c r="CQ366" s="128"/>
      <c r="CR366" s="129"/>
      <c r="CT366" s="132"/>
      <c r="CU366" s="128"/>
      <c r="CV366" s="129"/>
      <c r="CX366" s="132"/>
      <c r="CY366" s="128"/>
      <c r="CZ366" s="129"/>
      <c r="DB366" s="132"/>
      <c r="DC366" s="128"/>
      <c r="DD366" s="129"/>
      <c r="DF366" s="132"/>
      <c r="DG366" s="85"/>
      <c r="DH366" s="85"/>
      <c r="DI366" s="84"/>
      <c r="DK366" s="84"/>
      <c r="DP366" s="84"/>
      <c r="DU366" s="84"/>
      <c r="DY366" s="84"/>
      <c r="EC366" s="84"/>
      <c r="EG366" s="84"/>
      <c r="EK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128"/>
      <c r="AA367" s="129"/>
      <c r="AC367" s="130"/>
      <c r="AD367" s="128"/>
      <c r="AE367" s="129"/>
      <c r="AG367" s="130"/>
      <c r="AH367" s="128"/>
      <c r="AI367" s="129"/>
      <c r="AK367" s="130"/>
      <c r="AL367" s="128"/>
      <c r="AM367" s="129"/>
      <c r="AO367" s="130"/>
      <c r="AP367" s="128"/>
      <c r="AQ367" s="129"/>
      <c r="AS367" s="130"/>
      <c r="AT367" s="128"/>
      <c r="AU367" s="129"/>
      <c r="AW367" s="130"/>
      <c r="AX367" s="85"/>
      <c r="AY367" s="84"/>
      <c r="AZ367" s="84"/>
      <c r="BA367" s="131"/>
      <c r="BB367" s="84"/>
      <c r="BE367" s="84"/>
      <c r="BI367" s="86"/>
      <c r="BO367" s="84"/>
      <c r="BT367" s="84"/>
      <c r="BY367" s="84"/>
      <c r="CD367" s="84"/>
      <c r="CI367" s="128"/>
      <c r="CJ367" s="129"/>
      <c r="CL367" s="132"/>
      <c r="CM367" s="128"/>
      <c r="CN367" s="129"/>
      <c r="CP367" s="132"/>
      <c r="CQ367" s="128"/>
      <c r="CR367" s="129"/>
      <c r="CT367" s="132"/>
      <c r="CU367" s="128"/>
      <c r="CV367" s="129"/>
      <c r="CX367" s="132"/>
      <c r="CY367" s="128"/>
      <c r="CZ367" s="129"/>
      <c r="DB367" s="132"/>
      <c r="DC367" s="128"/>
      <c r="DD367" s="129"/>
      <c r="DF367" s="132"/>
      <c r="DG367" s="85"/>
      <c r="DH367" s="85"/>
      <c r="DI367" s="84"/>
      <c r="DK367" s="84"/>
      <c r="DP367" s="84"/>
      <c r="DU367" s="84"/>
      <c r="DY367" s="84"/>
      <c r="EC367" s="84"/>
      <c r="EG367" s="84"/>
      <c r="EK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128"/>
      <c r="AA368" s="129"/>
      <c r="AC368" s="130"/>
      <c r="AD368" s="128"/>
      <c r="AE368" s="129"/>
      <c r="AG368" s="130"/>
      <c r="AH368" s="128"/>
      <c r="AI368" s="129"/>
      <c r="AK368" s="130"/>
      <c r="AL368" s="128"/>
      <c r="AM368" s="129"/>
      <c r="AO368" s="130"/>
      <c r="AP368" s="128"/>
      <c r="AQ368" s="129"/>
      <c r="AS368" s="130"/>
      <c r="AT368" s="128"/>
      <c r="AU368" s="129"/>
      <c r="AW368" s="130"/>
      <c r="AX368" s="85"/>
      <c r="AY368" s="84"/>
      <c r="AZ368" s="84"/>
      <c r="BA368" s="131"/>
      <c r="BB368" s="84"/>
      <c r="BE368" s="84"/>
      <c r="BI368" s="86"/>
      <c r="BO368" s="84"/>
      <c r="BT368" s="84"/>
      <c r="BY368" s="84"/>
      <c r="CD368" s="84"/>
      <c r="CI368" s="128"/>
      <c r="CJ368" s="129"/>
      <c r="CL368" s="132"/>
      <c r="CM368" s="128"/>
      <c r="CN368" s="129"/>
      <c r="CP368" s="132"/>
      <c r="CQ368" s="128"/>
      <c r="CR368" s="129"/>
      <c r="CT368" s="132"/>
      <c r="CU368" s="128"/>
      <c r="CV368" s="129"/>
      <c r="CX368" s="132"/>
      <c r="CY368" s="128"/>
      <c r="CZ368" s="129"/>
      <c r="DB368" s="132"/>
      <c r="DC368" s="128"/>
      <c r="DD368" s="129"/>
      <c r="DF368" s="132"/>
      <c r="DG368" s="85"/>
      <c r="DH368" s="85"/>
      <c r="DI368" s="84"/>
      <c r="DK368" s="84"/>
      <c r="DP368" s="84"/>
      <c r="DU368" s="84"/>
      <c r="DY368" s="84"/>
      <c r="EC368" s="84"/>
      <c r="EG368" s="84"/>
      <c r="EK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128"/>
      <c r="AA369" s="129"/>
      <c r="AC369" s="130"/>
      <c r="AD369" s="128"/>
      <c r="AE369" s="129"/>
      <c r="AG369" s="130"/>
      <c r="AH369" s="128"/>
      <c r="AI369" s="129"/>
      <c r="AK369" s="130"/>
      <c r="AL369" s="128"/>
      <c r="AM369" s="129"/>
      <c r="AO369" s="130"/>
      <c r="AP369" s="128"/>
      <c r="AQ369" s="129"/>
      <c r="AS369" s="130"/>
      <c r="AT369" s="128"/>
      <c r="AU369" s="129"/>
      <c r="AW369" s="130"/>
      <c r="AX369" s="85"/>
      <c r="AY369" s="84"/>
      <c r="AZ369" s="84"/>
      <c r="BA369" s="131"/>
      <c r="BB369" s="84"/>
      <c r="BE369" s="84"/>
      <c r="BI369" s="86"/>
      <c r="BO369" s="84"/>
      <c r="BT369" s="84"/>
      <c r="BY369" s="84"/>
      <c r="CD369" s="84"/>
      <c r="CI369" s="128"/>
      <c r="CJ369" s="129"/>
      <c r="CL369" s="132"/>
      <c r="CM369" s="128"/>
      <c r="CN369" s="129"/>
      <c r="CP369" s="132"/>
      <c r="CQ369" s="128"/>
      <c r="CR369" s="129"/>
      <c r="CT369" s="132"/>
      <c r="CU369" s="128"/>
      <c r="CV369" s="129"/>
      <c r="CX369" s="132"/>
      <c r="CY369" s="128"/>
      <c r="CZ369" s="129"/>
      <c r="DB369" s="132"/>
      <c r="DC369" s="128"/>
      <c r="DD369" s="129"/>
      <c r="DF369" s="132"/>
      <c r="DG369" s="85"/>
      <c r="DH369" s="85"/>
      <c r="DI369" s="84"/>
      <c r="DK369" s="84"/>
      <c r="DP369" s="84"/>
      <c r="DU369" s="84"/>
      <c r="DY369" s="84"/>
      <c r="EC369" s="84"/>
      <c r="EG369" s="84"/>
      <c r="EK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128"/>
      <c r="AA370" s="129"/>
      <c r="AC370" s="130"/>
      <c r="AD370" s="128"/>
      <c r="AE370" s="129"/>
      <c r="AG370" s="130"/>
      <c r="AH370" s="128"/>
      <c r="AI370" s="129"/>
      <c r="AK370" s="130"/>
      <c r="AL370" s="128"/>
      <c r="AM370" s="129"/>
      <c r="AO370" s="130"/>
      <c r="AP370" s="128"/>
      <c r="AQ370" s="129"/>
      <c r="AS370" s="130"/>
      <c r="AT370" s="128"/>
      <c r="AU370" s="129"/>
      <c r="AW370" s="130"/>
      <c r="AX370" s="85"/>
      <c r="AY370" s="84"/>
      <c r="AZ370" s="84"/>
      <c r="BA370" s="131"/>
      <c r="BB370" s="84"/>
      <c r="BE370" s="84"/>
      <c r="BI370" s="86"/>
      <c r="BO370" s="84"/>
      <c r="BT370" s="84"/>
      <c r="BY370" s="84"/>
      <c r="CD370" s="84"/>
      <c r="CI370" s="128"/>
      <c r="CJ370" s="129"/>
      <c r="CL370" s="132"/>
      <c r="CM370" s="128"/>
      <c r="CN370" s="129"/>
      <c r="CP370" s="132"/>
      <c r="CQ370" s="128"/>
      <c r="CR370" s="129"/>
      <c r="CT370" s="132"/>
      <c r="CU370" s="128"/>
      <c r="CV370" s="129"/>
      <c r="CX370" s="132"/>
      <c r="CY370" s="128"/>
      <c r="CZ370" s="129"/>
      <c r="DB370" s="132"/>
      <c r="DC370" s="128"/>
      <c r="DD370" s="129"/>
      <c r="DF370" s="132"/>
      <c r="DG370" s="85"/>
      <c r="DH370" s="85"/>
      <c r="DI370" s="84"/>
      <c r="DK370" s="84"/>
      <c r="DP370" s="84"/>
      <c r="DU370" s="84"/>
      <c r="DY370" s="84"/>
      <c r="EC370" s="84"/>
      <c r="EG370" s="84"/>
      <c r="EK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128"/>
      <c r="AA371" s="129"/>
      <c r="AC371" s="130"/>
      <c r="AD371" s="128"/>
      <c r="AE371" s="129"/>
      <c r="AG371" s="130"/>
      <c r="AH371" s="128"/>
      <c r="AI371" s="129"/>
      <c r="AK371" s="130"/>
      <c r="AL371" s="128"/>
      <c r="AM371" s="129"/>
      <c r="AO371" s="130"/>
      <c r="AP371" s="128"/>
      <c r="AQ371" s="129"/>
      <c r="AS371" s="130"/>
      <c r="AT371" s="128"/>
      <c r="AU371" s="129"/>
      <c r="AW371" s="130"/>
      <c r="AX371" s="85"/>
      <c r="AY371" s="84"/>
      <c r="AZ371" s="84"/>
      <c r="BA371" s="131"/>
      <c r="BB371" s="84"/>
      <c r="BE371" s="84"/>
      <c r="BI371" s="86"/>
      <c r="BO371" s="84"/>
      <c r="BT371" s="84"/>
      <c r="BY371" s="84"/>
      <c r="CD371" s="84"/>
      <c r="CI371" s="128"/>
      <c r="CJ371" s="129"/>
      <c r="CL371" s="132"/>
      <c r="CM371" s="128"/>
      <c r="CN371" s="129"/>
      <c r="CP371" s="132"/>
      <c r="CQ371" s="128"/>
      <c r="CR371" s="129"/>
      <c r="CT371" s="132"/>
      <c r="CU371" s="128"/>
      <c r="CV371" s="129"/>
      <c r="CX371" s="132"/>
      <c r="CY371" s="128"/>
      <c r="CZ371" s="129"/>
      <c r="DB371" s="132"/>
      <c r="DC371" s="128"/>
      <c r="DD371" s="129"/>
      <c r="DF371" s="132"/>
      <c r="DG371" s="85"/>
      <c r="DH371" s="85"/>
      <c r="DI371" s="84"/>
      <c r="DK371" s="84"/>
      <c r="DP371" s="84"/>
      <c r="DU371" s="84"/>
      <c r="DY371" s="84"/>
      <c r="EC371" s="84"/>
      <c r="EG371" s="84"/>
      <c r="EK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128"/>
      <c r="AA372" s="129"/>
      <c r="AC372" s="130"/>
      <c r="AD372" s="128"/>
      <c r="AE372" s="129"/>
      <c r="AG372" s="130"/>
      <c r="AH372" s="128"/>
      <c r="AI372" s="129"/>
      <c r="AK372" s="130"/>
      <c r="AL372" s="128"/>
      <c r="AM372" s="129"/>
      <c r="AO372" s="130"/>
      <c r="AP372" s="128"/>
      <c r="AQ372" s="129"/>
      <c r="AS372" s="130"/>
      <c r="AT372" s="128"/>
      <c r="AU372" s="129"/>
      <c r="AW372" s="130"/>
      <c r="AX372" s="85"/>
      <c r="AY372" s="84"/>
      <c r="AZ372" s="84"/>
      <c r="BA372" s="131"/>
      <c r="BB372" s="84"/>
      <c r="BE372" s="84"/>
      <c r="BI372" s="86"/>
      <c r="BO372" s="84"/>
      <c r="BT372" s="84"/>
      <c r="BY372" s="84"/>
      <c r="CD372" s="84"/>
      <c r="CI372" s="128"/>
      <c r="CJ372" s="129"/>
      <c r="CL372" s="132"/>
      <c r="CM372" s="128"/>
      <c r="CN372" s="129"/>
      <c r="CP372" s="132"/>
      <c r="CQ372" s="128"/>
      <c r="CR372" s="129"/>
      <c r="CT372" s="132"/>
      <c r="CU372" s="128"/>
      <c r="CV372" s="129"/>
      <c r="CX372" s="132"/>
      <c r="CY372" s="128"/>
      <c r="CZ372" s="129"/>
      <c r="DB372" s="132"/>
      <c r="DC372" s="128"/>
      <c r="DD372" s="129"/>
      <c r="DF372" s="132"/>
      <c r="DG372" s="85"/>
      <c r="DH372" s="85"/>
      <c r="DI372" s="84"/>
      <c r="DK372" s="84"/>
      <c r="DP372" s="84"/>
      <c r="DU372" s="84"/>
      <c r="DY372" s="84"/>
      <c r="EC372" s="84"/>
      <c r="EG372" s="84"/>
      <c r="EK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128"/>
      <c r="AA373" s="129"/>
      <c r="AC373" s="130"/>
      <c r="AD373" s="128"/>
      <c r="AE373" s="129"/>
      <c r="AG373" s="130"/>
      <c r="AH373" s="128"/>
      <c r="AI373" s="129"/>
      <c r="AK373" s="130"/>
      <c r="AL373" s="128"/>
      <c r="AM373" s="129"/>
      <c r="AO373" s="130"/>
      <c r="AP373" s="128"/>
      <c r="AQ373" s="129"/>
      <c r="AS373" s="130"/>
      <c r="AT373" s="128"/>
      <c r="AU373" s="129"/>
      <c r="AW373" s="130"/>
      <c r="AX373" s="85"/>
      <c r="AY373" s="84"/>
      <c r="AZ373" s="84"/>
      <c r="BA373" s="131"/>
      <c r="BB373" s="84"/>
      <c r="BE373" s="84"/>
      <c r="BI373" s="86"/>
      <c r="BO373" s="84"/>
      <c r="BT373" s="84"/>
      <c r="BY373" s="84"/>
      <c r="CD373" s="84"/>
      <c r="CI373" s="128"/>
      <c r="CJ373" s="129"/>
      <c r="CL373" s="132"/>
      <c r="CM373" s="128"/>
      <c r="CN373" s="129"/>
      <c r="CP373" s="132"/>
      <c r="CQ373" s="128"/>
      <c r="CR373" s="129"/>
      <c r="CT373" s="132"/>
      <c r="CU373" s="128"/>
      <c r="CV373" s="129"/>
      <c r="CX373" s="132"/>
      <c r="CY373" s="128"/>
      <c r="CZ373" s="129"/>
      <c r="DB373" s="132"/>
      <c r="DC373" s="128"/>
      <c r="DD373" s="129"/>
      <c r="DF373" s="132"/>
      <c r="DG373" s="85"/>
      <c r="DH373" s="85"/>
      <c r="DI373" s="84"/>
      <c r="DK373" s="84"/>
      <c r="DP373" s="84"/>
      <c r="DU373" s="84"/>
      <c r="DY373" s="84"/>
      <c r="EC373" s="84"/>
      <c r="EG373" s="84"/>
      <c r="EK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128"/>
      <c r="AA374" s="129"/>
      <c r="AC374" s="130"/>
      <c r="AD374" s="128"/>
      <c r="AE374" s="129"/>
      <c r="AG374" s="130"/>
      <c r="AH374" s="128"/>
      <c r="AI374" s="129"/>
      <c r="AK374" s="130"/>
      <c r="AL374" s="128"/>
      <c r="AM374" s="129"/>
      <c r="AO374" s="130"/>
      <c r="AP374" s="128"/>
      <c r="AQ374" s="129"/>
      <c r="AS374" s="130"/>
      <c r="AT374" s="128"/>
      <c r="AU374" s="129"/>
      <c r="AW374" s="130"/>
      <c r="AX374" s="85"/>
      <c r="AY374" s="84"/>
      <c r="AZ374" s="84"/>
      <c r="BA374" s="131"/>
      <c r="BB374" s="84"/>
      <c r="BE374" s="84"/>
      <c r="BI374" s="86"/>
      <c r="BO374" s="84"/>
      <c r="BT374" s="84"/>
      <c r="BY374" s="84"/>
      <c r="CD374" s="84"/>
      <c r="CI374" s="128"/>
      <c r="CJ374" s="129"/>
      <c r="CL374" s="132"/>
      <c r="CM374" s="128"/>
      <c r="CN374" s="129"/>
      <c r="CP374" s="132"/>
      <c r="CQ374" s="128"/>
      <c r="CR374" s="129"/>
      <c r="CT374" s="132"/>
      <c r="CU374" s="128"/>
      <c r="CV374" s="129"/>
      <c r="CX374" s="132"/>
      <c r="CY374" s="128"/>
      <c r="CZ374" s="129"/>
      <c r="DB374" s="132"/>
      <c r="DC374" s="128"/>
      <c r="DD374" s="129"/>
      <c r="DF374" s="132"/>
      <c r="DG374" s="85"/>
      <c r="DH374" s="85"/>
      <c r="DI374" s="84"/>
      <c r="DK374" s="84"/>
      <c r="DP374" s="84"/>
      <c r="DU374" s="84"/>
      <c r="DY374" s="84"/>
      <c r="EC374" s="84"/>
      <c r="EG374" s="84"/>
      <c r="EK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128"/>
      <c r="AA375" s="129"/>
      <c r="AC375" s="130"/>
      <c r="AD375" s="128"/>
      <c r="AE375" s="129"/>
      <c r="AG375" s="130"/>
      <c r="AH375" s="128"/>
      <c r="AI375" s="129"/>
      <c r="AK375" s="130"/>
      <c r="AL375" s="128"/>
      <c r="AM375" s="129"/>
      <c r="AO375" s="130"/>
      <c r="AP375" s="128"/>
      <c r="AQ375" s="129"/>
      <c r="AS375" s="130"/>
      <c r="AT375" s="128"/>
      <c r="AU375" s="129"/>
      <c r="AW375" s="130"/>
      <c r="AX375" s="85"/>
      <c r="AY375" s="84"/>
      <c r="AZ375" s="84"/>
      <c r="BA375" s="131"/>
      <c r="BB375" s="84"/>
      <c r="BE375" s="84"/>
      <c r="BI375" s="86"/>
      <c r="BO375" s="84"/>
      <c r="BT375" s="84"/>
      <c r="BY375" s="84"/>
      <c r="CD375" s="84"/>
      <c r="CI375" s="128"/>
      <c r="CJ375" s="129"/>
      <c r="CL375" s="132"/>
      <c r="CM375" s="128"/>
      <c r="CN375" s="129"/>
      <c r="CP375" s="132"/>
      <c r="CQ375" s="128"/>
      <c r="CR375" s="129"/>
      <c r="CT375" s="132"/>
      <c r="CU375" s="128"/>
      <c r="CV375" s="129"/>
      <c r="CX375" s="132"/>
      <c r="CY375" s="128"/>
      <c r="CZ375" s="129"/>
      <c r="DB375" s="132"/>
      <c r="DC375" s="128"/>
      <c r="DD375" s="129"/>
      <c r="DF375" s="132"/>
      <c r="DG375" s="85"/>
      <c r="DH375" s="85"/>
      <c r="DI375" s="84"/>
      <c r="DK375" s="84"/>
      <c r="DP375" s="84"/>
      <c r="DU375" s="84"/>
      <c r="DY375" s="84"/>
      <c r="EC375" s="84"/>
      <c r="EG375" s="84"/>
      <c r="EK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128"/>
      <c r="AA376" s="129"/>
      <c r="AC376" s="130"/>
      <c r="AD376" s="128"/>
      <c r="AE376" s="129"/>
      <c r="AG376" s="130"/>
      <c r="AH376" s="128"/>
      <c r="AI376" s="129"/>
      <c r="AK376" s="130"/>
      <c r="AL376" s="128"/>
      <c r="AM376" s="129"/>
      <c r="AO376" s="130"/>
      <c r="AP376" s="128"/>
      <c r="AQ376" s="129"/>
      <c r="AS376" s="130"/>
      <c r="AT376" s="128"/>
      <c r="AU376" s="129"/>
      <c r="AW376" s="130"/>
      <c r="AX376" s="85"/>
      <c r="AY376" s="84"/>
      <c r="AZ376" s="84"/>
      <c r="BA376" s="131"/>
      <c r="BB376" s="84"/>
      <c r="BE376" s="84"/>
      <c r="BI376" s="86"/>
      <c r="BO376" s="84"/>
      <c r="BT376" s="84"/>
      <c r="BY376" s="84"/>
      <c r="CD376" s="84"/>
      <c r="CI376" s="128"/>
      <c r="CJ376" s="129"/>
      <c r="CL376" s="132"/>
      <c r="CM376" s="128"/>
      <c r="CN376" s="129"/>
      <c r="CP376" s="132"/>
      <c r="CQ376" s="128"/>
      <c r="CR376" s="129"/>
      <c r="CT376" s="132"/>
      <c r="CU376" s="128"/>
      <c r="CV376" s="129"/>
      <c r="CX376" s="132"/>
      <c r="CY376" s="128"/>
      <c r="CZ376" s="129"/>
      <c r="DB376" s="132"/>
      <c r="DC376" s="128"/>
      <c r="DD376" s="129"/>
      <c r="DF376" s="132"/>
      <c r="DG376" s="85"/>
      <c r="DH376" s="85"/>
      <c r="DI376" s="84"/>
      <c r="DK376" s="84"/>
      <c r="DP376" s="84"/>
      <c r="DU376" s="84"/>
      <c r="DY376" s="84"/>
      <c r="EC376" s="84"/>
      <c r="EG376" s="84"/>
      <c r="EK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128"/>
      <c r="AA377" s="129"/>
      <c r="AC377" s="130"/>
      <c r="AD377" s="128"/>
      <c r="AE377" s="129"/>
      <c r="AG377" s="130"/>
      <c r="AH377" s="128"/>
      <c r="AI377" s="129"/>
      <c r="AK377" s="130"/>
      <c r="AL377" s="128"/>
      <c r="AM377" s="129"/>
      <c r="AO377" s="130"/>
      <c r="AP377" s="128"/>
      <c r="AQ377" s="129"/>
      <c r="AS377" s="130"/>
      <c r="AT377" s="128"/>
      <c r="AU377" s="129"/>
      <c r="AW377" s="130"/>
      <c r="AX377" s="85"/>
      <c r="AY377" s="84"/>
      <c r="AZ377" s="84"/>
      <c r="BA377" s="131"/>
      <c r="BB377" s="84"/>
      <c r="BE377" s="84"/>
      <c r="BI377" s="86"/>
      <c r="BO377" s="84"/>
      <c r="BT377" s="84"/>
      <c r="BY377" s="84"/>
      <c r="CD377" s="84"/>
      <c r="CI377" s="128"/>
      <c r="CJ377" s="129"/>
      <c r="CL377" s="132"/>
      <c r="CM377" s="128"/>
      <c r="CN377" s="129"/>
      <c r="CP377" s="132"/>
      <c r="CQ377" s="128"/>
      <c r="CR377" s="129"/>
      <c r="CT377" s="132"/>
      <c r="CU377" s="128"/>
      <c r="CV377" s="129"/>
      <c r="CX377" s="132"/>
      <c r="CY377" s="128"/>
      <c r="CZ377" s="129"/>
      <c r="DB377" s="132"/>
      <c r="DC377" s="128"/>
      <c r="DD377" s="129"/>
      <c r="DF377" s="132"/>
      <c r="DG377" s="85"/>
      <c r="DH377" s="85"/>
      <c r="DI377" s="84"/>
      <c r="DK377" s="84"/>
      <c r="DP377" s="84"/>
      <c r="DU377" s="84"/>
      <c r="DY377" s="84"/>
      <c r="EC377" s="84"/>
      <c r="EG377" s="84"/>
      <c r="EK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128"/>
      <c r="AA378" s="129"/>
      <c r="AC378" s="130"/>
      <c r="AD378" s="128"/>
      <c r="AE378" s="129"/>
      <c r="AG378" s="130"/>
      <c r="AH378" s="128"/>
      <c r="AI378" s="129"/>
      <c r="AK378" s="130"/>
      <c r="AL378" s="128"/>
      <c r="AM378" s="129"/>
      <c r="AO378" s="130"/>
      <c r="AP378" s="128"/>
      <c r="AQ378" s="129"/>
      <c r="AS378" s="130"/>
      <c r="AT378" s="128"/>
      <c r="AU378" s="129"/>
      <c r="AW378" s="130"/>
      <c r="AX378" s="85"/>
      <c r="AY378" s="84"/>
      <c r="AZ378" s="84"/>
      <c r="BA378" s="131"/>
      <c r="BB378" s="84"/>
      <c r="BE378" s="84"/>
      <c r="BI378" s="86"/>
      <c r="BO378" s="84"/>
      <c r="BT378" s="84"/>
      <c r="BY378" s="84"/>
      <c r="CD378" s="84"/>
      <c r="CI378" s="128"/>
      <c r="CJ378" s="129"/>
      <c r="CL378" s="132"/>
      <c r="CM378" s="128"/>
      <c r="CN378" s="129"/>
      <c r="CP378" s="132"/>
      <c r="CQ378" s="128"/>
      <c r="CR378" s="129"/>
      <c r="CT378" s="132"/>
      <c r="CU378" s="128"/>
      <c r="CV378" s="129"/>
      <c r="CX378" s="132"/>
      <c r="CY378" s="128"/>
      <c r="CZ378" s="129"/>
      <c r="DB378" s="132"/>
      <c r="DC378" s="128"/>
      <c r="DD378" s="129"/>
      <c r="DF378" s="132"/>
      <c r="DG378" s="85"/>
      <c r="DH378" s="85"/>
      <c r="DI378" s="84"/>
      <c r="DK378" s="84"/>
      <c r="DP378" s="84"/>
      <c r="DU378" s="84"/>
      <c r="DY378" s="84"/>
      <c r="EC378" s="84"/>
      <c r="EG378" s="84"/>
      <c r="EK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128"/>
      <c r="AA379" s="129"/>
      <c r="AC379" s="130"/>
      <c r="AD379" s="128"/>
      <c r="AE379" s="129"/>
      <c r="AG379" s="130"/>
      <c r="AH379" s="128"/>
      <c r="AI379" s="129"/>
      <c r="AK379" s="130"/>
      <c r="AL379" s="128"/>
      <c r="AM379" s="129"/>
      <c r="AO379" s="130"/>
      <c r="AP379" s="128"/>
      <c r="AQ379" s="129"/>
      <c r="AS379" s="130"/>
      <c r="AT379" s="128"/>
      <c r="AU379" s="129"/>
      <c r="AW379" s="130"/>
      <c r="AX379" s="85"/>
      <c r="AY379" s="84"/>
      <c r="AZ379" s="84"/>
      <c r="BA379" s="131"/>
      <c r="BB379" s="84"/>
      <c r="BE379" s="84"/>
      <c r="BI379" s="86"/>
      <c r="BO379" s="84"/>
      <c r="BT379" s="84"/>
      <c r="BY379" s="84"/>
      <c r="CD379" s="84"/>
      <c r="CI379" s="128"/>
      <c r="CJ379" s="129"/>
      <c r="CL379" s="132"/>
      <c r="CM379" s="128"/>
      <c r="CN379" s="129"/>
      <c r="CP379" s="132"/>
      <c r="CQ379" s="128"/>
      <c r="CR379" s="129"/>
      <c r="CT379" s="132"/>
      <c r="CU379" s="128"/>
      <c r="CV379" s="129"/>
      <c r="CX379" s="132"/>
      <c r="CY379" s="128"/>
      <c r="CZ379" s="129"/>
      <c r="DB379" s="132"/>
      <c r="DC379" s="128"/>
      <c r="DD379" s="129"/>
      <c r="DF379" s="132"/>
      <c r="DG379" s="85"/>
      <c r="DH379" s="85"/>
      <c r="DI379" s="84"/>
      <c r="DK379" s="84"/>
      <c r="DP379" s="84"/>
      <c r="DU379" s="84"/>
      <c r="DY379" s="84"/>
      <c r="EC379" s="84"/>
      <c r="EG379" s="84"/>
      <c r="EK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128"/>
      <c r="AA380" s="129"/>
      <c r="AC380" s="130"/>
      <c r="AD380" s="128"/>
      <c r="AE380" s="129"/>
      <c r="AG380" s="130"/>
      <c r="AH380" s="128"/>
      <c r="AI380" s="129"/>
      <c r="AK380" s="130"/>
      <c r="AL380" s="128"/>
      <c r="AM380" s="129"/>
      <c r="AO380" s="130"/>
      <c r="AP380" s="128"/>
      <c r="AQ380" s="129"/>
      <c r="AS380" s="130"/>
      <c r="AT380" s="128"/>
      <c r="AU380" s="129"/>
      <c r="AW380" s="130"/>
      <c r="AX380" s="85"/>
      <c r="AY380" s="84"/>
      <c r="AZ380" s="84"/>
      <c r="BA380" s="131"/>
      <c r="BB380" s="84"/>
      <c r="BE380" s="84"/>
      <c r="BI380" s="86"/>
      <c r="BO380" s="84"/>
      <c r="BT380" s="84"/>
      <c r="BY380" s="84"/>
      <c r="CD380" s="84"/>
      <c r="CI380" s="128"/>
      <c r="CJ380" s="129"/>
      <c r="CL380" s="132"/>
      <c r="CM380" s="128"/>
      <c r="CN380" s="129"/>
      <c r="CP380" s="132"/>
      <c r="CQ380" s="128"/>
      <c r="CR380" s="129"/>
      <c r="CT380" s="132"/>
      <c r="CU380" s="128"/>
      <c r="CV380" s="129"/>
      <c r="CX380" s="132"/>
      <c r="CY380" s="128"/>
      <c r="CZ380" s="129"/>
      <c r="DB380" s="132"/>
      <c r="DC380" s="128"/>
      <c r="DD380" s="129"/>
      <c r="DF380" s="132"/>
      <c r="DG380" s="85"/>
      <c r="DH380" s="85"/>
      <c r="DI380" s="84"/>
      <c r="DK380" s="84"/>
      <c r="DP380" s="84"/>
      <c r="DU380" s="84"/>
      <c r="DY380" s="84"/>
      <c r="EC380" s="84"/>
      <c r="EG380" s="84"/>
      <c r="EK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128"/>
      <c r="AA381" s="129"/>
      <c r="AC381" s="130"/>
      <c r="AD381" s="128"/>
      <c r="AE381" s="129"/>
      <c r="AG381" s="130"/>
      <c r="AH381" s="128"/>
      <c r="AI381" s="129"/>
      <c r="AK381" s="130"/>
      <c r="AL381" s="128"/>
      <c r="AM381" s="129"/>
      <c r="AO381" s="130"/>
      <c r="AP381" s="128"/>
      <c r="AQ381" s="129"/>
      <c r="AS381" s="130"/>
      <c r="AT381" s="128"/>
      <c r="AU381" s="129"/>
      <c r="AW381" s="130"/>
      <c r="AX381" s="85"/>
      <c r="AY381" s="84"/>
      <c r="AZ381" s="84"/>
      <c r="BA381" s="131"/>
      <c r="BB381" s="84"/>
      <c r="BE381" s="84"/>
      <c r="BI381" s="86"/>
      <c r="BO381" s="84"/>
      <c r="BT381" s="84"/>
      <c r="BY381" s="84"/>
      <c r="CD381" s="84"/>
      <c r="CI381" s="128"/>
      <c r="CJ381" s="129"/>
      <c r="CL381" s="132"/>
      <c r="CM381" s="128"/>
      <c r="CN381" s="129"/>
      <c r="CP381" s="132"/>
      <c r="CQ381" s="128"/>
      <c r="CR381" s="129"/>
      <c r="CT381" s="132"/>
      <c r="CU381" s="128"/>
      <c r="CV381" s="129"/>
      <c r="CX381" s="132"/>
      <c r="CY381" s="128"/>
      <c r="CZ381" s="129"/>
      <c r="DB381" s="132"/>
      <c r="DC381" s="128"/>
      <c r="DD381" s="129"/>
      <c r="DF381" s="132"/>
      <c r="DG381" s="85"/>
      <c r="DH381" s="85"/>
      <c r="DI381" s="84"/>
      <c r="DK381" s="84"/>
      <c r="DP381" s="84"/>
      <c r="DU381" s="84"/>
      <c r="DY381" s="84"/>
      <c r="EC381" s="84"/>
      <c r="EG381" s="84"/>
      <c r="EK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128"/>
      <c r="AA382" s="129"/>
      <c r="AC382" s="130"/>
      <c r="AD382" s="128"/>
      <c r="AE382" s="129"/>
      <c r="AG382" s="130"/>
      <c r="AH382" s="128"/>
      <c r="AI382" s="129"/>
      <c r="AK382" s="130"/>
      <c r="AL382" s="128"/>
      <c r="AM382" s="129"/>
      <c r="AO382" s="130"/>
      <c r="AP382" s="128"/>
      <c r="AQ382" s="129"/>
      <c r="AS382" s="130"/>
      <c r="AT382" s="128"/>
      <c r="AU382" s="129"/>
      <c r="AW382" s="130"/>
      <c r="AX382" s="85"/>
      <c r="AY382" s="84"/>
      <c r="AZ382" s="84"/>
      <c r="BA382" s="131"/>
      <c r="BB382" s="84"/>
      <c r="BE382" s="84"/>
      <c r="BI382" s="86"/>
      <c r="BO382" s="84"/>
      <c r="BT382" s="84"/>
      <c r="BY382" s="84"/>
      <c r="CD382" s="84"/>
      <c r="CI382" s="128"/>
      <c r="CJ382" s="129"/>
      <c r="CL382" s="132"/>
      <c r="CM382" s="128"/>
      <c r="CN382" s="129"/>
      <c r="CP382" s="132"/>
      <c r="CQ382" s="128"/>
      <c r="CR382" s="129"/>
      <c r="CT382" s="132"/>
      <c r="CU382" s="128"/>
      <c r="CV382" s="129"/>
      <c r="CX382" s="132"/>
      <c r="CY382" s="128"/>
      <c r="CZ382" s="129"/>
      <c r="DB382" s="132"/>
      <c r="DC382" s="128"/>
      <c r="DD382" s="129"/>
      <c r="DF382" s="132"/>
      <c r="DG382" s="85"/>
      <c r="DH382" s="85"/>
      <c r="DI382" s="84"/>
      <c r="DK382" s="84"/>
      <c r="DP382" s="84"/>
      <c r="DU382" s="84"/>
      <c r="DY382" s="84"/>
      <c r="EC382" s="84"/>
      <c r="EG382" s="84"/>
      <c r="EK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128"/>
      <c r="AA383" s="129"/>
      <c r="AC383" s="130"/>
      <c r="AD383" s="128"/>
      <c r="AE383" s="129"/>
      <c r="AG383" s="130"/>
      <c r="AH383" s="128"/>
      <c r="AI383" s="129"/>
      <c r="AK383" s="130"/>
      <c r="AL383" s="128"/>
      <c r="AM383" s="129"/>
      <c r="AO383" s="130"/>
      <c r="AP383" s="128"/>
      <c r="AQ383" s="129"/>
      <c r="AS383" s="130"/>
      <c r="AT383" s="128"/>
      <c r="AU383" s="129"/>
      <c r="AW383" s="130"/>
      <c r="AX383" s="85"/>
      <c r="AY383" s="84"/>
      <c r="AZ383" s="84"/>
      <c r="BA383" s="131"/>
      <c r="BB383" s="84"/>
      <c r="BE383" s="84"/>
      <c r="BI383" s="86"/>
      <c r="BO383" s="84"/>
      <c r="BT383" s="84"/>
      <c r="BY383" s="84"/>
      <c r="CD383" s="84"/>
      <c r="CI383" s="128"/>
      <c r="CJ383" s="129"/>
      <c r="CL383" s="132"/>
      <c r="CM383" s="128"/>
      <c r="CN383" s="129"/>
      <c r="CP383" s="132"/>
      <c r="CQ383" s="128"/>
      <c r="CR383" s="129"/>
      <c r="CT383" s="132"/>
      <c r="CU383" s="128"/>
      <c r="CV383" s="129"/>
      <c r="CX383" s="132"/>
      <c r="CY383" s="128"/>
      <c r="CZ383" s="129"/>
      <c r="DB383" s="132"/>
      <c r="DC383" s="128"/>
      <c r="DD383" s="129"/>
      <c r="DF383" s="132"/>
      <c r="DG383" s="85"/>
      <c r="DH383" s="85"/>
      <c r="DI383" s="84"/>
      <c r="DK383" s="84"/>
      <c r="DP383" s="84"/>
      <c r="DU383" s="84"/>
      <c r="DY383" s="84"/>
      <c r="EC383" s="84"/>
      <c r="EG383" s="84"/>
      <c r="EK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128"/>
      <c r="AA384" s="129"/>
      <c r="AC384" s="130"/>
      <c r="AD384" s="128"/>
      <c r="AE384" s="129"/>
      <c r="AG384" s="130"/>
      <c r="AH384" s="128"/>
      <c r="AI384" s="129"/>
      <c r="AK384" s="130"/>
      <c r="AL384" s="128"/>
      <c r="AM384" s="129"/>
      <c r="AO384" s="130"/>
      <c r="AP384" s="128"/>
      <c r="AQ384" s="129"/>
      <c r="AS384" s="130"/>
      <c r="AT384" s="128"/>
      <c r="AU384" s="129"/>
      <c r="AW384" s="130"/>
      <c r="AX384" s="85"/>
      <c r="AY384" s="84"/>
      <c r="AZ384" s="84"/>
      <c r="BA384" s="131"/>
      <c r="BB384" s="84"/>
      <c r="BE384" s="84"/>
      <c r="BI384" s="86"/>
      <c r="BO384" s="84"/>
      <c r="BT384" s="84"/>
      <c r="BY384" s="84"/>
      <c r="CD384" s="84"/>
      <c r="CI384" s="128"/>
      <c r="CJ384" s="129"/>
      <c r="CL384" s="132"/>
      <c r="CM384" s="128"/>
      <c r="CN384" s="129"/>
      <c r="CP384" s="132"/>
      <c r="CQ384" s="128"/>
      <c r="CR384" s="129"/>
      <c r="CT384" s="132"/>
      <c r="CU384" s="128"/>
      <c r="CV384" s="129"/>
      <c r="CX384" s="132"/>
      <c r="CY384" s="128"/>
      <c r="CZ384" s="129"/>
      <c r="DB384" s="132"/>
      <c r="DC384" s="128"/>
      <c r="DD384" s="129"/>
      <c r="DF384" s="132"/>
      <c r="DG384" s="85"/>
      <c r="DH384" s="85"/>
      <c r="DI384" s="84"/>
      <c r="DK384" s="84"/>
      <c r="DP384" s="84"/>
      <c r="DU384" s="84"/>
      <c r="DY384" s="84"/>
      <c r="EC384" s="84"/>
      <c r="EG384" s="84"/>
      <c r="EK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128"/>
      <c r="AA385" s="129"/>
      <c r="AC385" s="130"/>
      <c r="AD385" s="128"/>
      <c r="AE385" s="129"/>
      <c r="AG385" s="130"/>
      <c r="AH385" s="128"/>
      <c r="AI385" s="129"/>
      <c r="AK385" s="130"/>
      <c r="AL385" s="128"/>
      <c r="AM385" s="129"/>
      <c r="AO385" s="130"/>
      <c r="AP385" s="128"/>
      <c r="AQ385" s="129"/>
      <c r="AS385" s="130"/>
      <c r="AT385" s="128"/>
      <c r="AU385" s="129"/>
      <c r="AW385" s="130"/>
      <c r="AX385" s="85"/>
      <c r="AY385" s="84"/>
      <c r="AZ385" s="84"/>
      <c r="BA385" s="131"/>
      <c r="BB385" s="84"/>
      <c r="BE385" s="84"/>
      <c r="BI385" s="86"/>
      <c r="BO385" s="84"/>
      <c r="BT385" s="84"/>
      <c r="BY385" s="84"/>
      <c r="CD385" s="84"/>
      <c r="CI385" s="128"/>
      <c r="CJ385" s="129"/>
      <c r="CL385" s="132"/>
      <c r="CM385" s="128"/>
      <c r="CN385" s="129"/>
      <c r="CP385" s="132"/>
      <c r="CQ385" s="128"/>
      <c r="CR385" s="129"/>
      <c r="CT385" s="132"/>
      <c r="CU385" s="128"/>
      <c r="CV385" s="129"/>
      <c r="CX385" s="132"/>
      <c r="CY385" s="128"/>
      <c r="CZ385" s="129"/>
      <c r="DB385" s="132"/>
      <c r="DC385" s="128"/>
      <c r="DD385" s="129"/>
      <c r="DF385" s="132"/>
      <c r="DG385" s="85"/>
      <c r="DH385" s="85"/>
      <c r="DI385" s="84"/>
      <c r="DK385" s="84"/>
      <c r="DP385" s="84"/>
      <c r="DU385" s="84"/>
      <c r="DY385" s="84"/>
      <c r="EC385" s="84"/>
      <c r="EG385" s="84"/>
      <c r="EK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128"/>
      <c r="AA386" s="129"/>
      <c r="AC386" s="130"/>
      <c r="AD386" s="128"/>
      <c r="AE386" s="129"/>
      <c r="AG386" s="130"/>
      <c r="AH386" s="128"/>
      <c r="AI386" s="129"/>
      <c r="AK386" s="130"/>
      <c r="AL386" s="128"/>
      <c r="AM386" s="129"/>
      <c r="AO386" s="130"/>
      <c r="AP386" s="128"/>
      <c r="AQ386" s="129"/>
      <c r="AS386" s="130"/>
      <c r="AT386" s="128"/>
      <c r="AU386" s="129"/>
      <c r="AW386" s="130"/>
      <c r="AX386" s="85"/>
      <c r="AY386" s="84"/>
      <c r="AZ386" s="84"/>
      <c r="BA386" s="131"/>
      <c r="BB386" s="84"/>
      <c r="BE386" s="84"/>
      <c r="BI386" s="86"/>
      <c r="BO386" s="84"/>
      <c r="BT386" s="84"/>
      <c r="BY386" s="84"/>
      <c r="CD386" s="84"/>
      <c r="CI386" s="128"/>
      <c r="CJ386" s="129"/>
      <c r="CL386" s="132"/>
      <c r="CM386" s="128"/>
      <c r="CN386" s="129"/>
      <c r="CP386" s="132"/>
      <c r="CQ386" s="128"/>
      <c r="CR386" s="129"/>
      <c r="CT386" s="132"/>
      <c r="CU386" s="128"/>
      <c r="CV386" s="129"/>
      <c r="CX386" s="132"/>
      <c r="CY386" s="128"/>
      <c r="CZ386" s="129"/>
      <c r="DB386" s="132"/>
      <c r="DC386" s="128"/>
      <c r="DD386" s="129"/>
      <c r="DF386" s="132"/>
      <c r="DG386" s="85"/>
      <c r="DH386" s="85"/>
      <c r="DI386" s="84"/>
      <c r="DK386" s="84"/>
      <c r="DP386" s="84"/>
      <c r="DU386" s="84"/>
      <c r="DY386" s="84"/>
      <c r="EC386" s="84"/>
      <c r="EG386" s="84"/>
      <c r="EK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128"/>
      <c r="AA387" s="129"/>
      <c r="AC387" s="130"/>
      <c r="AD387" s="128"/>
      <c r="AE387" s="129"/>
      <c r="AG387" s="130"/>
      <c r="AH387" s="128"/>
      <c r="AI387" s="129"/>
      <c r="AK387" s="130"/>
      <c r="AL387" s="128"/>
      <c r="AM387" s="129"/>
      <c r="AO387" s="130"/>
      <c r="AP387" s="128"/>
      <c r="AQ387" s="129"/>
      <c r="AS387" s="130"/>
      <c r="AT387" s="128"/>
      <c r="AU387" s="129"/>
      <c r="AW387" s="130"/>
      <c r="AX387" s="85"/>
      <c r="AY387" s="84"/>
      <c r="AZ387" s="84"/>
      <c r="BA387" s="131"/>
      <c r="BB387" s="84"/>
      <c r="BE387" s="84"/>
      <c r="BI387" s="86"/>
      <c r="BO387" s="84"/>
      <c r="BT387" s="84"/>
      <c r="BY387" s="84"/>
      <c r="CD387" s="84"/>
      <c r="CI387" s="128"/>
      <c r="CJ387" s="129"/>
      <c r="CL387" s="132"/>
      <c r="CM387" s="128"/>
      <c r="CN387" s="129"/>
      <c r="CP387" s="132"/>
      <c r="CQ387" s="128"/>
      <c r="CR387" s="129"/>
      <c r="CT387" s="132"/>
      <c r="CU387" s="128"/>
      <c r="CV387" s="129"/>
      <c r="CX387" s="132"/>
      <c r="CY387" s="128"/>
      <c r="CZ387" s="129"/>
      <c r="DB387" s="132"/>
      <c r="DC387" s="128"/>
      <c r="DD387" s="129"/>
      <c r="DF387" s="132"/>
      <c r="DG387" s="85"/>
      <c r="DH387" s="85"/>
      <c r="DI387" s="84"/>
      <c r="DK387" s="84"/>
      <c r="DP387" s="84"/>
      <c r="DU387" s="84"/>
      <c r="DY387" s="84"/>
      <c r="EC387" s="84"/>
      <c r="EG387" s="84"/>
      <c r="EK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128"/>
      <c r="AA388" s="129"/>
      <c r="AC388" s="130"/>
      <c r="AD388" s="128"/>
      <c r="AE388" s="129"/>
      <c r="AG388" s="130"/>
      <c r="AH388" s="128"/>
      <c r="AI388" s="129"/>
      <c r="AK388" s="130"/>
      <c r="AL388" s="128"/>
      <c r="AM388" s="129"/>
      <c r="AO388" s="130"/>
      <c r="AP388" s="128"/>
      <c r="AQ388" s="129"/>
      <c r="AS388" s="130"/>
      <c r="AT388" s="128"/>
      <c r="AU388" s="129"/>
      <c r="AW388" s="130"/>
      <c r="AX388" s="85"/>
      <c r="AY388" s="84"/>
      <c r="AZ388" s="84"/>
      <c r="BA388" s="131"/>
      <c r="BB388" s="84"/>
      <c r="BE388" s="84"/>
      <c r="BI388" s="86"/>
      <c r="BO388" s="84"/>
      <c r="BT388" s="84"/>
      <c r="BY388" s="84"/>
      <c r="CD388" s="84"/>
      <c r="CI388" s="128"/>
      <c r="CJ388" s="129"/>
      <c r="CL388" s="132"/>
      <c r="CM388" s="128"/>
      <c r="CN388" s="129"/>
      <c r="CP388" s="132"/>
      <c r="CQ388" s="128"/>
      <c r="CR388" s="129"/>
      <c r="CT388" s="132"/>
      <c r="CU388" s="128"/>
      <c r="CV388" s="129"/>
      <c r="CX388" s="132"/>
      <c r="CY388" s="128"/>
      <c r="CZ388" s="129"/>
      <c r="DB388" s="132"/>
      <c r="DC388" s="128"/>
      <c r="DD388" s="129"/>
      <c r="DF388" s="132"/>
      <c r="DG388" s="85"/>
      <c r="DH388" s="85"/>
      <c r="DI388" s="84"/>
      <c r="DK388" s="84"/>
      <c r="DP388" s="84"/>
      <c r="DU388" s="84"/>
      <c r="DY388" s="84"/>
      <c r="EC388" s="84"/>
      <c r="EG388" s="84"/>
      <c r="EK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128"/>
      <c r="AA389" s="129"/>
      <c r="AC389" s="130"/>
      <c r="AD389" s="128"/>
      <c r="AE389" s="129"/>
      <c r="AG389" s="130"/>
      <c r="AH389" s="128"/>
      <c r="AI389" s="129"/>
      <c r="AK389" s="130"/>
      <c r="AL389" s="128"/>
      <c r="AM389" s="129"/>
      <c r="AO389" s="130"/>
      <c r="AP389" s="128"/>
      <c r="AQ389" s="129"/>
      <c r="AS389" s="130"/>
      <c r="AT389" s="128"/>
      <c r="AU389" s="129"/>
      <c r="AW389" s="130"/>
      <c r="AX389" s="85"/>
      <c r="AY389" s="84"/>
      <c r="AZ389" s="84"/>
      <c r="BA389" s="131"/>
      <c r="BB389" s="84"/>
      <c r="BE389" s="84"/>
      <c r="BI389" s="86"/>
      <c r="BO389" s="84"/>
      <c r="BT389" s="84"/>
      <c r="BY389" s="84"/>
      <c r="CD389" s="84"/>
      <c r="CI389" s="128"/>
      <c r="CJ389" s="129"/>
      <c r="CL389" s="132"/>
      <c r="CM389" s="128"/>
      <c r="CN389" s="129"/>
      <c r="CP389" s="132"/>
      <c r="CQ389" s="128"/>
      <c r="CR389" s="129"/>
      <c r="CT389" s="132"/>
      <c r="CU389" s="128"/>
      <c r="CV389" s="129"/>
      <c r="CX389" s="132"/>
      <c r="CY389" s="128"/>
      <c r="CZ389" s="129"/>
      <c r="DB389" s="132"/>
      <c r="DC389" s="128"/>
      <c r="DD389" s="129"/>
      <c r="DF389" s="132"/>
      <c r="DG389" s="85"/>
      <c r="DH389" s="85"/>
      <c r="DI389" s="84"/>
      <c r="DK389" s="84"/>
      <c r="DP389" s="84"/>
      <c r="DU389" s="84"/>
      <c r="DY389" s="84"/>
      <c r="EC389" s="84"/>
      <c r="EG389" s="84"/>
      <c r="EK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128"/>
      <c r="AA390" s="129"/>
      <c r="AC390" s="130"/>
      <c r="AD390" s="128"/>
      <c r="AE390" s="129"/>
      <c r="AG390" s="130"/>
      <c r="AH390" s="128"/>
      <c r="AI390" s="129"/>
      <c r="AK390" s="130"/>
      <c r="AL390" s="128"/>
      <c r="AM390" s="129"/>
      <c r="AO390" s="130"/>
      <c r="AP390" s="128"/>
      <c r="AQ390" s="129"/>
      <c r="AS390" s="130"/>
      <c r="AT390" s="128"/>
      <c r="AU390" s="129"/>
      <c r="AW390" s="130"/>
      <c r="AX390" s="85"/>
      <c r="AY390" s="84"/>
      <c r="AZ390" s="84"/>
      <c r="BA390" s="131"/>
      <c r="BB390" s="84"/>
      <c r="BE390" s="84"/>
      <c r="BI390" s="86"/>
      <c r="BO390" s="84"/>
      <c r="BT390" s="84"/>
      <c r="BY390" s="84"/>
      <c r="CD390" s="84"/>
      <c r="CI390" s="128"/>
      <c r="CJ390" s="129"/>
      <c r="CL390" s="132"/>
      <c r="CM390" s="128"/>
      <c r="CN390" s="129"/>
      <c r="CP390" s="132"/>
      <c r="CQ390" s="128"/>
      <c r="CR390" s="129"/>
      <c r="CT390" s="132"/>
      <c r="CU390" s="128"/>
      <c r="CV390" s="129"/>
      <c r="CX390" s="132"/>
      <c r="CY390" s="128"/>
      <c r="CZ390" s="129"/>
      <c r="DB390" s="132"/>
      <c r="DC390" s="128"/>
      <c r="DD390" s="129"/>
      <c r="DF390" s="132"/>
      <c r="DG390" s="85"/>
      <c r="DH390" s="85"/>
      <c r="DI390" s="84"/>
      <c r="DK390" s="84"/>
      <c r="DP390" s="84"/>
      <c r="DU390" s="84"/>
      <c r="DY390" s="84"/>
      <c r="EC390" s="84"/>
      <c r="EG390" s="84"/>
      <c r="EK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128"/>
      <c r="AA391" s="129"/>
      <c r="AC391" s="130"/>
      <c r="AD391" s="128"/>
      <c r="AE391" s="129"/>
      <c r="AG391" s="130"/>
      <c r="AH391" s="128"/>
      <c r="AI391" s="129"/>
      <c r="AK391" s="130"/>
      <c r="AL391" s="128"/>
      <c r="AM391" s="129"/>
      <c r="AO391" s="130"/>
      <c r="AP391" s="128"/>
      <c r="AQ391" s="129"/>
      <c r="AS391" s="130"/>
      <c r="AT391" s="128"/>
      <c r="AU391" s="129"/>
      <c r="AW391" s="130"/>
      <c r="AX391" s="85"/>
      <c r="AY391" s="84"/>
      <c r="AZ391" s="84"/>
      <c r="BA391" s="131"/>
      <c r="BB391" s="84"/>
      <c r="BE391" s="84"/>
      <c r="BI391" s="86"/>
      <c r="BO391" s="84"/>
      <c r="BT391" s="84"/>
      <c r="BY391" s="84"/>
      <c r="CD391" s="84"/>
      <c r="CI391" s="128"/>
      <c r="CJ391" s="129"/>
      <c r="CL391" s="132"/>
      <c r="CM391" s="128"/>
      <c r="CN391" s="129"/>
      <c r="CP391" s="132"/>
      <c r="CQ391" s="128"/>
      <c r="CR391" s="129"/>
      <c r="CT391" s="132"/>
      <c r="CU391" s="128"/>
      <c r="CV391" s="129"/>
      <c r="CX391" s="132"/>
      <c r="CY391" s="128"/>
      <c r="CZ391" s="129"/>
      <c r="DB391" s="132"/>
      <c r="DC391" s="128"/>
      <c r="DD391" s="129"/>
      <c r="DF391" s="132"/>
      <c r="DG391" s="85"/>
      <c r="DH391" s="85"/>
      <c r="DI391" s="84"/>
      <c r="DK391" s="84"/>
      <c r="DP391" s="84"/>
      <c r="DU391" s="84"/>
      <c r="DY391" s="84"/>
      <c r="EC391" s="84"/>
      <c r="EG391" s="84"/>
      <c r="EK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128"/>
      <c r="AA392" s="129"/>
      <c r="AC392" s="130"/>
      <c r="AD392" s="128"/>
      <c r="AE392" s="129"/>
      <c r="AG392" s="130"/>
      <c r="AH392" s="128"/>
      <c r="AI392" s="129"/>
      <c r="AK392" s="130"/>
      <c r="AL392" s="128"/>
      <c r="AM392" s="129"/>
      <c r="AO392" s="130"/>
      <c r="AP392" s="128"/>
      <c r="AQ392" s="129"/>
      <c r="AS392" s="130"/>
      <c r="AT392" s="128"/>
      <c r="AU392" s="129"/>
      <c r="AW392" s="130"/>
      <c r="AX392" s="85"/>
      <c r="AY392" s="84"/>
      <c r="AZ392" s="84"/>
      <c r="BA392" s="131"/>
      <c r="BB392" s="84"/>
      <c r="BE392" s="84"/>
      <c r="BI392" s="86"/>
      <c r="BO392" s="84"/>
      <c r="BT392" s="84"/>
      <c r="BY392" s="84"/>
      <c r="CD392" s="84"/>
      <c r="CI392" s="128"/>
      <c r="CJ392" s="129"/>
      <c r="CL392" s="132"/>
      <c r="CM392" s="128"/>
      <c r="CN392" s="129"/>
      <c r="CP392" s="132"/>
      <c r="CQ392" s="128"/>
      <c r="CR392" s="129"/>
      <c r="CT392" s="132"/>
      <c r="CU392" s="128"/>
      <c r="CV392" s="129"/>
      <c r="CX392" s="132"/>
      <c r="CY392" s="128"/>
      <c r="CZ392" s="129"/>
      <c r="DB392" s="132"/>
      <c r="DC392" s="128"/>
      <c r="DD392" s="129"/>
      <c r="DF392" s="132"/>
      <c r="DG392" s="85"/>
      <c r="DH392" s="85"/>
      <c r="DI392" s="84"/>
      <c r="DK392" s="84"/>
      <c r="DP392" s="84"/>
      <c r="DU392" s="84"/>
      <c r="DY392" s="84"/>
      <c r="EC392" s="84"/>
      <c r="EG392" s="84"/>
      <c r="EK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128"/>
      <c r="AA393" s="129"/>
      <c r="AC393" s="130"/>
      <c r="AD393" s="128"/>
      <c r="AE393" s="129"/>
      <c r="AG393" s="130"/>
      <c r="AH393" s="128"/>
      <c r="AI393" s="129"/>
      <c r="AK393" s="130"/>
      <c r="AL393" s="128"/>
      <c r="AM393" s="129"/>
      <c r="AO393" s="130"/>
      <c r="AP393" s="128"/>
      <c r="AQ393" s="129"/>
      <c r="AS393" s="130"/>
      <c r="AT393" s="128"/>
      <c r="AU393" s="129"/>
      <c r="AW393" s="130"/>
      <c r="AX393" s="85"/>
      <c r="AY393" s="84"/>
      <c r="AZ393" s="84"/>
      <c r="BA393" s="131"/>
      <c r="BB393" s="84"/>
      <c r="BE393" s="84"/>
      <c r="BI393" s="86"/>
      <c r="BO393" s="84"/>
      <c r="BT393" s="84"/>
      <c r="BY393" s="84"/>
      <c r="CD393" s="84"/>
      <c r="CI393" s="128"/>
      <c r="CJ393" s="129"/>
      <c r="CL393" s="132"/>
      <c r="CM393" s="128"/>
      <c r="CN393" s="129"/>
      <c r="CP393" s="132"/>
      <c r="CQ393" s="128"/>
      <c r="CR393" s="129"/>
      <c r="CT393" s="132"/>
      <c r="CU393" s="128"/>
      <c r="CV393" s="129"/>
      <c r="CX393" s="132"/>
      <c r="CY393" s="128"/>
      <c r="CZ393" s="129"/>
      <c r="DB393" s="132"/>
      <c r="DC393" s="128"/>
      <c r="DD393" s="129"/>
      <c r="DF393" s="132"/>
      <c r="DG393" s="85"/>
      <c r="DH393" s="85"/>
      <c r="DI393" s="84"/>
      <c r="DK393" s="84"/>
      <c r="DP393" s="84"/>
      <c r="DU393" s="84"/>
      <c r="DY393" s="84"/>
      <c r="EC393" s="84"/>
      <c r="EG393" s="84"/>
      <c r="EK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128"/>
      <c r="AA394" s="129"/>
      <c r="AC394" s="130"/>
      <c r="AD394" s="128"/>
      <c r="AE394" s="129"/>
      <c r="AG394" s="130"/>
      <c r="AH394" s="128"/>
      <c r="AI394" s="129"/>
      <c r="AK394" s="130"/>
      <c r="AL394" s="128"/>
      <c r="AM394" s="129"/>
      <c r="AO394" s="130"/>
      <c r="AP394" s="128"/>
      <c r="AQ394" s="129"/>
      <c r="AS394" s="130"/>
      <c r="AT394" s="128"/>
      <c r="AU394" s="129"/>
      <c r="AW394" s="130"/>
      <c r="AX394" s="85"/>
      <c r="AY394" s="84"/>
      <c r="AZ394" s="84"/>
      <c r="BA394" s="131"/>
      <c r="BB394" s="84"/>
      <c r="BE394" s="84"/>
      <c r="BI394" s="86"/>
      <c r="BO394" s="84"/>
      <c r="BT394" s="84"/>
      <c r="BY394" s="84"/>
      <c r="CD394" s="84"/>
      <c r="CI394" s="128"/>
      <c r="CJ394" s="129"/>
      <c r="CL394" s="132"/>
      <c r="CM394" s="128"/>
      <c r="CN394" s="129"/>
      <c r="CP394" s="132"/>
      <c r="CQ394" s="128"/>
      <c r="CR394" s="129"/>
      <c r="CT394" s="132"/>
      <c r="CU394" s="128"/>
      <c r="CV394" s="129"/>
      <c r="CX394" s="132"/>
      <c r="CY394" s="128"/>
      <c r="CZ394" s="129"/>
      <c r="DB394" s="132"/>
      <c r="DC394" s="128"/>
      <c r="DD394" s="129"/>
      <c r="DF394" s="132"/>
      <c r="DG394" s="85"/>
      <c r="DH394" s="85"/>
      <c r="DI394" s="84"/>
      <c r="DK394" s="84"/>
      <c r="DP394" s="84"/>
      <c r="DU394" s="84"/>
      <c r="DY394" s="84"/>
      <c r="EC394" s="84"/>
      <c r="EG394" s="84"/>
      <c r="EK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128"/>
      <c r="AA395" s="129"/>
      <c r="AC395" s="130"/>
      <c r="AD395" s="128"/>
      <c r="AE395" s="129"/>
      <c r="AG395" s="130"/>
      <c r="AH395" s="128"/>
      <c r="AI395" s="129"/>
      <c r="AK395" s="130"/>
      <c r="AL395" s="128"/>
      <c r="AM395" s="129"/>
      <c r="AO395" s="130"/>
      <c r="AP395" s="128"/>
      <c r="AQ395" s="129"/>
      <c r="AS395" s="130"/>
      <c r="AT395" s="128"/>
      <c r="AU395" s="129"/>
      <c r="AW395" s="130"/>
      <c r="AX395" s="85"/>
      <c r="AY395" s="84"/>
      <c r="AZ395" s="84"/>
      <c r="BA395" s="131"/>
      <c r="BB395" s="84"/>
      <c r="BE395" s="84"/>
      <c r="BI395" s="86"/>
      <c r="BO395" s="84"/>
      <c r="BT395" s="84"/>
      <c r="BY395" s="84"/>
      <c r="CD395" s="84"/>
      <c r="CI395" s="128"/>
      <c r="CJ395" s="129"/>
      <c r="CL395" s="132"/>
      <c r="CM395" s="128"/>
      <c r="CN395" s="129"/>
      <c r="CP395" s="132"/>
      <c r="CQ395" s="128"/>
      <c r="CR395" s="129"/>
      <c r="CT395" s="132"/>
      <c r="CU395" s="128"/>
      <c r="CV395" s="129"/>
      <c r="CX395" s="132"/>
      <c r="CY395" s="128"/>
      <c r="CZ395" s="129"/>
      <c r="DB395" s="132"/>
      <c r="DC395" s="128"/>
      <c r="DD395" s="129"/>
      <c r="DF395" s="132"/>
      <c r="DG395" s="85"/>
      <c r="DH395" s="85"/>
      <c r="DI395" s="84"/>
      <c r="DK395" s="84"/>
      <c r="DP395" s="84"/>
      <c r="DU395" s="84"/>
      <c r="DY395" s="84"/>
      <c r="EC395" s="84"/>
      <c r="EG395" s="84"/>
      <c r="EK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128"/>
      <c r="AA396" s="129"/>
      <c r="AC396" s="130"/>
      <c r="AD396" s="128"/>
      <c r="AE396" s="129"/>
      <c r="AG396" s="130"/>
      <c r="AH396" s="128"/>
      <c r="AI396" s="129"/>
      <c r="AK396" s="130"/>
      <c r="AL396" s="128"/>
      <c r="AM396" s="129"/>
      <c r="AO396" s="130"/>
      <c r="AP396" s="128"/>
      <c r="AQ396" s="129"/>
      <c r="AS396" s="130"/>
      <c r="AT396" s="128"/>
      <c r="AU396" s="129"/>
      <c r="AW396" s="130"/>
      <c r="AX396" s="85"/>
      <c r="AY396" s="84"/>
      <c r="AZ396" s="84"/>
      <c r="BA396" s="131"/>
      <c r="BB396" s="84"/>
      <c r="BE396" s="84"/>
      <c r="BI396" s="86"/>
      <c r="BO396" s="84"/>
      <c r="BT396" s="84"/>
      <c r="BY396" s="84"/>
      <c r="CD396" s="84"/>
      <c r="CI396" s="128"/>
      <c r="CJ396" s="129"/>
      <c r="CL396" s="132"/>
      <c r="CM396" s="128"/>
      <c r="CN396" s="129"/>
      <c r="CP396" s="132"/>
      <c r="CQ396" s="128"/>
      <c r="CR396" s="129"/>
      <c r="CT396" s="132"/>
      <c r="CU396" s="128"/>
      <c r="CV396" s="129"/>
      <c r="CX396" s="132"/>
      <c r="CY396" s="128"/>
      <c r="CZ396" s="129"/>
      <c r="DB396" s="132"/>
      <c r="DC396" s="128"/>
      <c r="DD396" s="129"/>
      <c r="DF396" s="132"/>
      <c r="DG396" s="85"/>
      <c r="DH396" s="85"/>
      <c r="DI396" s="84"/>
      <c r="DK396" s="84"/>
      <c r="DP396" s="84"/>
      <c r="DU396" s="84"/>
      <c r="DY396" s="84"/>
      <c r="EC396" s="84"/>
      <c r="EG396" s="84"/>
      <c r="EK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128"/>
      <c r="AA397" s="129"/>
      <c r="AC397" s="130"/>
      <c r="AD397" s="128"/>
      <c r="AE397" s="129"/>
      <c r="AG397" s="130"/>
      <c r="AH397" s="128"/>
      <c r="AI397" s="129"/>
      <c r="AK397" s="130"/>
      <c r="AL397" s="128"/>
      <c r="AM397" s="129"/>
      <c r="AO397" s="130"/>
      <c r="AP397" s="128"/>
      <c r="AQ397" s="129"/>
      <c r="AS397" s="130"/>
      <c r="AT397" s="128"/>
      <c r="AU397" s="129"/>
      <c r="AW397" s="130"/>
      <c r="AX397" s="85"/>
      <c r="AY397" s="84"/>
      <c r="AZ397" s="84"/>
      <c r="BA397" s="131"/>
      <c r="BB397" s="84"/>
      <c r="BE397" s="84"/>
      <c r="BI397" s="86"/>
      <c r="BO397" s="84"/>
      <c r="BT397" s="84"/>
      <c r="BY397" s="84"/>
      <c r="CD397" s="84"/>
      <c r="CI397" s="128"/>
      <c r="CJ397" s="129"/>
      <c r="CL397" s="132"/>
      <c r="CM397" s="128"/>
      <c r="CN397" s="129"/>
      <c r="CP397" s="132"/>
      <c r="CQ397" s="128"/>
      <c r="CR397" s="129"/>
      <c r="CT397" s="132"/>
      <c r="CU397" s="128"/>
      <c r="CV397" s="129"/>
      <c r="CX397" s="132"/>
      <c r="CY397" s="128"/>
      <c r="CZ397" s="129"/>
      <c r="DB397" s="132"/>
      <c r="DC397" s="128"/>
      <c r="DD397" s="129"/>
      <c r="DF397" s="132"/>
      <c r="DG397" s="85"/>
      <c r="DH397" s="85"/>
      <c r="DI397" s="84"/>
      <c r="DK397" s="84"/>
      <c r="DP397" s="84"/>
      <c r="DU397" s="84"/>
      <c r="DY397" s="84"/>
      <c r="EC397" s="84"/>
      <c r="EG397" s="84"/>
      <c r="EK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128"/>
      <c r="AA398" s="129"/>
      <c r="AC398" s="130"/>
      <c r="AD398" s="128"/>
      <c r="AE398" s="129"/>
      <c r="AG398" s="130"/>
      <c r="AH398" s="128"/>
      <c r="AI398" s="129"/>
      <c r="AK398" s="130"/>
      <c r="AL398" s="128"/>
      <c r="AM398" s="129"/>
      <c r="AO398" s="130"/>
      <c r="AP398" s="128"/>
      <c r="AQ398" s="129"/>
      <c r="AS398" s="130"/>
      <c r="AT398" s="128"/>
      <c r="AU398" s="129"/>
      <c r="AW398" s="130"/>
      <c r="AX398" s="85"/>
      <c r="AY398" s="84"/>
      <c r="AZ398" s="84"/>
      <c r="BA398" s="131"/>
      <c r="BB398" s="84"/>
      <c r="BE398" s="84"/>
      <c r="BI398" s="86"/>
      <c r="BO398" s="84"/>
      <c r="BT398" s="84"/>
      <c r="BY398" s="84"/>
      <c r="CD398" s="84"/>
      <c r="CI398" s="128"/>
      <c r="CJ398" s="129"/>
      <c r="CL398" s="132"/>
      <c r="CM398" s="128"/>
      <c r="CN398" s="129"/>
      <c r="CP398" s="132"/>
      <c r="CQ398" s="128"/>
      <c r="CR398" s="129"/>
      <c r="CT398" s="132"/>
      <c r="CU398" s="128"/>
      <c r="CV398" s="129"/>
      <c r="CX398" s="132"/>
      <c r="CY398" s="128"/>
      <c r="CZ398" s="129"/>
      <c r="DB398" s="132"/>
      <c r="DC398" s="128"/>
      <c r="DD398" s="129"/>
      <c r="DF398" s="132"/>
      <c r="DG398" s="85"/>
      <c r="DH398" s="85"/>
      <c r="DI398" s="84"/>
      <c r="DK398" s="84"/>
      <c r="DP398" s="84"/>
      <c r="DU398" s="84"/>
      <c r="DY398" s="84"/>
      <c r="EC398" s="84"/>
      <c r="EG398" s="84"/>
      <c r="EK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128"/>
      <c r="AA399" s="129"/>
      <c r="AC399" s="130"/>
      <c r="AD399" s="128"/>
      <c r="AE399" s="129"/>
      <c r="AG399" s="130"/>
      <c r="AH399" s="128"/>
      <c r="AI399" s="129"/>
      <c r="AK399" s="130"/>
      <c r="AL399" s="128"/>
      <c r="AM399" s="129"/>
      <c r="AO399" s="130"/>
      <c r="AP399" s="128"/>
      <c r="AQ399" s="129"/>
      <c r="AS399" s="130"/>
      <c r="AT399" s="128"/>
      <c r="AU399" s="129"/>
      <c r="AW399" s="130"/>
      <c r="AX399" s="85"/>
      <c r="AY399" s="84"/>
      <c r="AZ399" s="84"/>
      <c r="BA399" s="131"/>
      <c r="BB399" s="84"/>
      <c r="BE399" s="84"/>
      <c r="BI399" s="86"/>
      <c r="BO399" s="84"/>
      <c r="BT399" s="84"/>
      <c r="BY399" s="84"/>
      <c r="CD399" s="84"/>
      <c r="CI399" s="128"/>
      <c r="CJ399" s="129"/>
      <c r="CL399" s="132"/>
      <c r="CM399" s="128"/>
      <c r="CN399" s="129"/>
      <c r="CP399" s="132"/>
      <c r="CQ399" s="128"/>
      <c r="CR399" s="129"/>
      <c r="CT399" s="132"/>
      <c r="CU399" s="128"/>
      <c r="CV399" s="129"/>
      <c r="CX399" s="132"/>
      <c r="CY399" s="128"/>
      <c r="CZ399" s="129"/>
      <c r="DB399" s="132"/>
      <c r="DC399" s="128"/>
      <c r="DD399" s="129"/>
      <c r="DF399" s="132"/>
      <c r="DG399" s="85"/>
      <c r="DH399" s="85"/>
      <c r="DI399" s="84"/>
      <c r="DK399" s="84"/>
      <c r="DP399" s="84"/>
      <c r="DU399" s="84"/>
      <c r="DY399" s="84"/>
      <c r="EC399" s="84"/>
      <c r="EG399" s="84"/>
      <c r="EK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128"/>
      <c r="AA400" s="129"/>
      <c r="AC400" s="130"/>
      <c r="AD400" s="128"/>
      <c r="AE400" s="129"/>
      <c r="AG400" s="130"/>
      <c r="AH400" s="128"/>
      <c r="AI400" s="129"/>
      <c r="AK400" s="130"/>
      <c r="AL400" s="128"/>
      <c r="AM400" s="129"/>
      <c r="AO400" s="130"/>
      <c r="AP400" s="128"/>
      <c r="AQ400" s="129"/>
      <c r="AS400" s="130"/>
      <c r="AT400" s="128"/>
      <c r="AU400" s="129"/>
      <c r="AW400" s="130"/>
      <c r="AX400" s="85"/>
      <c r="AY400" s="84"/>
      <c r="AZ400" s="84"/>
      <c r="BA400" s="131"/>
      <c r="BB400" s="84"/>
      <c r="BE400" s="84"/>
      <c r="BI400" s="86"/>
      <c r="BO400" s="84"/>
      <c r="BT400" s="84"/>
      <c r="BY400" s="84"/>
      <c r="CD400" s="84"/>
      <c r="CI400" s="128"/>
      <c r="CJ400" s="129"/>
      <c r="CL400" s="132"/>
      <c r="CM400" s="128"/>
      <c r="CN400" s="129"/>
      <c r="CP400" s="132"/>
      <c r="CQ400" s="128"/>
      <c r="CR400" s="129"/>
      <c r="CT400" s="132"/>
      <c r="CU400" s="128"/>
      <c r="CV400" s="129"/>
      <c r="CX400" s="132"/>
      <c r="CY400" s="128"/>
      <c r="CZ400" s="129"/>
      <c r="DB400" s="132"/>
      <c r="DC400" s="128"/>
      <c r="DD400" s="129"/>
      <c r="DF400" s="132"/>
      <c r="DG400" s="85"/>
      <c r="DH400" s="85"/>
      <c r="DI400" s="84"/>
      <c r="DK400" s="84"/>
      <c r="DP400" s="84"/>
      <c r="DU400" s="84"/>
      <c r="DY400" s="84"/>
      <c r="EC400" s="84"/>
      <c r="EG400" s="84"/>
      <c r="EK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128"/>
      <c r="AA401" s="129"/>
      <c r="AC401" s="130"/>
      <c r="AD401" s="128"/>
      <c r="AE401" s="129"/>
      <c r="AG401" s="130"/>
      <c r="AH401" s="128"/>
      <c r="AI401" s="129"/>
      <c r="AK401" s="130"/>
      <c r="AL401" s="128"/>
      <c r="AM401" s="129"/>
      <c r="AO401" s="130"/>
      <c r="AP401" s="128"/>
      <c r="AQ401" s="129"/>
      <c r="AS401" s="130"/>
      <c r="AT401" s="128"/>
      <c r="AU401" s="129"/>
      <c r="AW401" s="130"/>
      <c r="AX401" s="85"/>
      <c r="AY401" s="84"/>
      <c r="AZ401" s="84"/>
      <c r="BA401" s="131"/>
      <c r="BB401" s="84"/>
      <c r="BE401" s="84"/>
      <c r="BI401" s="86"/>
      <c r="BO401" s="84"/>
      <c r="BT401" s="84"/>
      <c r="BY401" s="84"/>
      <c r="CD401" s="84"/>
      <c r="CI401" s="128"/>
      <c r="CJ401" s="129"/>
      <c r="CL401" s="132"/>
      <c r="CM401" s="128"/>
      <c r="CN401" s="129"/>
      <c r="CP401" s="132"/>
      <c r="CQ401" s="128"/>
      <c r="CR401" s="129"/>
      <c r="CT401" s="132"/>
      <c r="CU401" s="128"/>
      <c r="CV401" s="129"/>
      <c r="CX401" s="132"/>
      <c r="CY401" s="128"/>
      <c r="CZ401" s="129"/>
      <c r="DB401" s="132"/>
      <c r="DC401" s="128"/>
      <c r="DD401" s="129"/>
      <c r="DF401" s="132"/>
      <c r="DG401" s="85"/>
      <c r="DH401" s="85"/>
      <c r="DI401" s="84"/>
      <c r="DK401" s="84"/>
      <c r="DP401" s="84"/>
      <c r="DU401" s="84"/>
      <c r="DY401" s="84"/>
      <c r="EC401" s="84"/>
      <c r="EG401" s="84"/>
      <c r="EK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128"/>
      <c r="AA402" s="129"/>
      <c r="AC402" s="130"/>
      <c r="AD402" s="128"/>
      <c r="AE402" s="129"/>
      <c r="AG402" s="130"/>
      <c r="AH402" s="128"/>
      <c r="AI402" s="129"/>
      <c r="AK402" s="130"/>
      <c r="AL402" s="128"/>
      <c r="AM402" s="129"/>
      <c r="AO402" s="130"/>
      <c r="AP402" s="128"/>
      <c r="AQ402" s="129"/>
      <c r="AS402" s="130"/>
      <c r="AT402" s="128"/>
      <c r="AU402" s="129"/>
      <c r="AW402" s="130"/>
      <c r="AX402" s="85"/>
      <c r="AY402" s="84"/>
      <c r="AZ402" s="84"/>
      <c r="BA402" s="131"/>
      <c r="BB402" s="84"/>
      <c r="BE402" s="84"/>
      <c r="BI402" s="86"/>
      <c r="BO402" s="84"/>
      <c r="BT402" s="84"/>
      <c r="BY402" s="84"/>
      <c r="CD402" s="84"/>
      <c r="CI402" s="128"/>
      <c r="CJ402" s="129"/>
      <c r="CL402" s="132"/>
      <c r="CM402" s="128"/>
      <c r="CN402" s="129"/>
      <c r="CP402" s="132"/>
      <c r="CQ402" s="128"/>
      <c r="CR402" s="129"/>
      <c r="CT402" s="132"/>
      <c r="CU402" s="128"/>
      <c r="CV402" s="129"/>
      <c r="CX402" s="132"/>
      <c r="CY402" s="128"/>
      <c r="CZ402" s="129"/>
      <c r="DB402" s="132"/>
      <c r="DC402" s="128"/>
      <c r="DD402" s="129"/>
      <c r="DF402" s="132"/>
      <c r="DG402" s="85"/>
      <c r="DH402" s="85"/>
      <c r="DI402" s="84"/>
      <c r="DK402" s="84"/>
      <c r="DP402" s="84"/>
      <c r="DU402" s="84"/>
      <c r="DY402" s="84"/>
      <c r="EC402" s="84"/>
      <c r="EG402" s="84"/>
      <c r="EK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128"/>
      <c r="AA403" s="129"/>
      <c r="AC403" s="130"/>
      <c r="AD403" s="128"/>
      <c r="AE403" s="129"/>
      <c r="AG403" s="130"/>
      <c r="AH403" s="128"/>
      <c r="AI403" s="129"/>
      <c r="AK403" s="130"/>
      <c r="AL403" s="128"/>
      <c r="AM403" s="129"/>
      <c r="AO403" s="130"/>
      <c r="AP403" s="128"/>
      <c r="AQ403" s="129"/>
      <c r="AS403" s="130"/>
      <c r="AT403" s="128"/>
      <c r="AU403" s="129"/>
      <c r="AW403" s="130"/>
      <c r="AX403" s="85"/>
      <c r="AY403" s="84"/>
      <c r="AZ403" s="84"/>
      <c r="BA403" s="131"/>
      <c r="BB403" s="84"/>
      <c r="BE403" s="84"/>
      <c r="BI403" s="86"/>
      <c r="BO403" s="84"/>
      <c r="BT403" s="84"/>
      <c r="BY403" s="84"/>
      <c r="CD403" s="84"/>
      <c r="CI403" s="128"/>
      <c r="CJ403" s="129"/>
      <c r="CL403" s="132"/>
      <c r="CM403" s="128"/>
      <c r="CN403" s="129"/>
      <c r="CP403" s="132"/>
      <c r="CQ403" s="128"/>
      <c r="CR403" s="129"/>
      <c r="CT403" s="132"/>
      <c r="CU403" s="128"/>
      <c r="CV403" s="129"/>
      <c r="CX403" s="132"/>
      <c r="CY403" s="128"/>
      <c r="CZ403" s="129"/>
      <c r="DB403" s="132"/>
      <c r="DC403" s="128"/>
      <c r="DD403" s="129"/>
      <c r="DF403" s="132"/>
      <c r="DG403" s="85"/>
      <c r="DH403" s="85"/>
      <c r="DI403" s="84"/>
      <c r="DK403" s="84"/>
      <c r="DP403" s="84"/>
      <c r="DU403" s="84"/>
      <c r="DY403" s="84"/>
      <c r="EC403" s="84"/>
      <c r="EG403" s="84"/>
      <c r="EK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128"/>
      <c r="AA404" s="129"/>
      <c r="AC404" s="130"/>
      <c r="AD404" s="128"/>
      <c r="AE404" s="129"/>
      <c r="AG404" s="130"/>
      <c r="AH404" s="128"/>
      <c r="AI404" s="129"/>
      <c r="AK404" s="130"/>
      <c r="AL404" s="128"/>
      <c r="AM404" s="129"/>
      <c r="AO404" s="130"/>
      <c r="AP404" s="128"/>
      <c r="AQ404" s="129"/>
      <c r="AS404" s="130"/>
      <c r="AT404" s="128"/>
      <c r="AU404" s="129"/>
      <c r="AW404" s="130"/>
      <c r="AX404" s="85"/>
      <c r="AY404" s="84"/>
      <c r="AZ404" s="84"/>
      <c r="BA404" s="131"/>
      <c r="BB404" s="84"/>
      <c r="BE404" s="84"/>
      <c r="BI404" s="86"/>
      <c r="BO404" s="84"/>
      <c r="BT404" s="84"/>
      <c r="BY404" s="84"/>
      <c r="CD404" s="84"/>
      <c r="CI404" s="128"/>
      <c r="CJ404" s="129"/>
      <c r="CL404" s="132"/>
      <c r="CM404" s="128"/>
      <c r="CN404" s="129"/>
      <c r="CP404" s="132"/>
      <c r="CQ404" s="128"/>
      <c r="CR404" s="129"/>
      <c r="CT404" s="132"/>
      <c r="CU404" s="128"/>
      <c r="CV404" s="129"/>
      <c r="CX404" s="132"/>
      <c r="CY404" s="128"/>
      <c r="CZ404" s="129"/>
      <c r="DB404" s="132"/>
      <c r="DC404" s="128"/>
      <c r="DD404" s="129"/>
      <c r="DF404" s="132"/>
      <c r="DG404" s="85"/>
      <c r="DH404" s="85"/>
      <c r="DI404" s="84"/>
      <c r="DK404" s="84"/>
      <c r="DP404" s="84"/>
      <c r="DU404" s="84"/>
      <c r="DY404" s="84"/>
      <c r="EC404" s="84"/>
      <c r="EG404" s="84"/>
      <c r="EK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128"/>
      <c r="AA405" s="129"/>
      <c r="AC405" s="130"/>
      <c r="AD405" s="128"/>
      <c r="AE405" s="129"/>
      <c r="AG405" s="130"/>
      <c r="AH405" s="128"/>
      <c r="AI405" s="129"/>
      <c r="AK405" s="130"/>
      <c r="AL405" s="128"/>
      <c r="AM405" s="129"/>
      <c r="AO405" s="130"/>
      <c r="AP405" s="128"/>
      <c r="AQ405" s="129"/>
      <c r="AS405" s="130"/>
      <c r="AT405" s="128"/>
      <c r="AU405" s="129"/>
      <c r="AW405" s="130"/>
      <c r="AX405" s="85"/>
      <c r="AY405" s="84"/>
      <c r="AZ405" s="84"/>
      <c r="BA405" s="131"/>
      <c r="BB405" s="84"/>
      <c r="BE405" s="84"/>
      <c r="BI405" s="86"/>
      <c r="BO405" s="84"/>
      <c r="BT405" s="84"/>
      <c r="BY405" s="84"/>
      <c r="CD405" s="84"/>
      <c r="CI405" s="128"/>
      <c r="CJ405" s="129"/>
      <c r="CL405" s="132"/>
      <c r="CM405" s="128"/>
      <c r="CN405" s="129"/>
      <c r="CP405" s="132"/>
      <c r="CQ405" s="128"/>
      <c r="CR405" s="129"/>
      <c r="CT405" s="132"/>
      <c r="CU405" s="128"/>
      <c r="CV405" s="129"/>
      <c r="CX405" s="132"/>
      <c r="CY405" s="128"/>
      <c r="CZ405" s="129"/>
      <c r="DB405" s="132"/>
      <c r="DC405" s="128"/>
      <c r="DD405" s="129"/>
      <c r="DF405" s="132"/>
      <c r="DG405" s="85"/>
      <c r="DH405" s="85"/>
      <c r="DI405" s="84"/>
      <c r="DK405" s="84"/>
      <c r="DP405" s="84"/>
      <c r="DU405" s="84"/>
      <c r="DY405" s="84"/>
      <c r="EC405" s="84"/>
      <c r="EG405" s="84"/>
      <c r="EK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128"/>
      <c r="AA406" s="129"/>
      <c r="AC406" s="130"/>
      <c r="AD406" s="128"/>
      <c r="AE406" s="129"/>
      <c r="AG406" s="130"/>
      <c r="AH406" s="128"/>
      <c r="AI406" s="129"/>
      <c r="AK406" s="130"/>
      <c r="AL406" s="128"/>
      <c r="AM406" s="129"/>
      <c r="AO406" s="130"/>
      <c r="AP406" s="128"/>
      <c r="AQ406" s="129"/>
      <c r="AS406" s="130"/>
      <c r="AT406" s="128"/>
      <c r="AU406" s="129"/>
      <c r="AW406" s="130"/>
      <c r="AX406" s="85"/>
      <c r="AY406" s="84"/>
      <c r="AZ406" s="84"/>
      <c r="BA406" s="131"/>
      <c r="BB406" s="84"/>
      <c r="BE406" s="84"/>
      <c r="BI406" s="86"/>
      <c r="BO406" s="84"/>
      <c r="BT406" s="84"/>
      <c r="BY406" s="84"/>
      <c r="CD406" s="84"/>
      <c r="CI406" s="128"/>
      <c r="CJ406" s="129"/>
      <c r="CL406" s="132"/>
      <c r="CM406" s="128"/>
      <c r="CN406" s="129"/>
      <c r="CP406" s="132"/>
      <c r="CQ406" s="128"/>
      <c r="CR406" s="129"/>
      <c r="CT406" s="132"/>
      <c r="CU406" s="128"/>
      <c r="CV406" s="129"/>
      <c r="CX406" s="132"/>
      <c r="CY406" s="128"/>
      <c r="CZ406" s="129"/>
      <c r="DB406" s="132"/>
      <c r="DC406" s="128"/>
      <c r="DD406" s="129"/>
      <c r="DF406" s="132"/>
      <c r="DG406" s="85"/>
      <c r="DH406" s="85"/>
      <c r="DI406" s="84"/>
      <c r="DK406" s="84"/>
      <c r="DP406" s="84"/>
      <c r="DU406" s="84"/>
      <c r="DY406" s="84"/>
      <c r="EC406" s="84"/>
      <c r="EG406" s="84"/>
      <c r="EK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128"/>
      <c r="AA407" s="129"/>
      <c r="AC407" s="130"/>
      <c r="AD407" s="128"/>
      <c r="AE407" s="129"/>
      <c r="AG407" s="130"/>
      <c r="AH407" s="128"/>
      <c r="AI407" s="129"/>
      <c r="AK407" s="130"/>
      <c r="AL407" s="128"/>
      <c r="AM407" s="129"/>
      <c r="AO407" s="130"/>
      <c r="AP407" s="128"/>
      <c r="AQ407" s="129"/>
      <c r="AS407" s="130"/>
      <c r="AT407" s="128"/>
      <c r="AU407" s="129"/>
      <c r="AW407" s="130"/>
      <c r="AX407" s="85"/>
      <c r="AY407" s="84"/>
      <c r="AZ407" s="84"/>
      <c r="BA407" s="131"/>
      <c r="BB407" s="84"/>
      <c r="BE407" s="84"/>
      <c r="BI407" s="86"/>
      <c r="BO407" s="84"/>
      <c r="BT407" s="84"/>
      <c r="BY407" s="84"/>
      <c r="CD407" s="84"/>
      <c r="CI407" s="128"/>
      <c r="CJ407" s="129"/>
      <c r="CL407" s="132"/>
      <c r="CM407" s="128"/>
      <c r="CN407" s="129"/>
      <c r="CP407" s="132"/>
      <c r="CQ407" s="128"/>
      <c r="CR407" s="129"/>
      <c r="CT407" s="132"/>
      <c r="CU407" s="128"/>
      <c r="CV407" s="129"/>
      <c r="CX407" s="132"/>
      <c r="CY407" s="128"/>
      <c r="CZ407" s="129"/>
      <c r="DB407" s="132"/>
      <c r="DC407" s="128"/>
      <c r="DD407" s="129"/>
      <c r="DF407" s="132"/>
      <c r="DG407" s="85"/>
      <c r="DH407" s="85"/>
      <c r="DI407" s="84"/>
      <c r="DK407" s="84"/>
      <c r="DP407" s="84"/>
      <c r="DU407" s="84"/>
      <c r="DY407" s="84"/>
      <c r="EC407" s="84"/>
      <c r="EG407" s="84"/>
      <c r="EK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128"/>
      <c r="AA408" s="129"/>
      <c r="AC408" s="130"/>
      <c r="AD408" s="128"/>
      <c r="AE408" s="129"/>
      <c r="AG408" s="130"/>
      <c r="AH408" s="128"/>
      <c r="AI408" s="129"/>
      <c r="AK408" s="130"/>
      <c r="AL408" s="128"/>
      <c r="AM408" s="129"/>
      <c r="AO408" s="130"/>
      <c r="AP408" s="128"/>
      <c r="AQ408" s="129"/>
      <c r="AS408" s="130"/>
      <c r="AT408" s="128"/>
      <c r="AU408" s="129"/>
      <c r="AW408" s="130"/>
      <c r="AX408" s="85"/>
      <c r="AY408" s="84"/>
      <c r="AZ408" s="84"/>
      <c r="BA408" s="131"/>
      <c r="BB408" s="84"/>
      <c r="BE408" s="84"/>
      <c r="BI408" s="86"/>
      <c r="BO408" s="84"/>
      <c r="BT408" s="84"/>
      <c r="BY408" s="84"/>
      <c r="CD408" s="84"/>
      <c r="CI408" s="128"/>
      <c r="CJ408" s="129"/>
      <c r="CL408" s="132"/>
      <c r="CM408" s="128"/>
      <c r="CN408" s="129"/>
      <c r="CP408" s="132"/>
      <c r="CQ408" s="128"/>
      <c r="CR408" s="129"/>
      <c r="CT408" s="132"/>
      <c r="CU408" s="128"/>
      <c r="CV408" s="129"/>
      <c r="CX408" s="132"/>
      <c r="CY408" s="128"/>
      <c r="CZ408" s="129"/>
      <c r="DB408" s="132"/>
      <c r="DC408" s="128"/>
      <c r="DD408" s="129"/>
      <c r="DF408" s="132"/>
      <c r="DG408" s="85"/>
      <c r="DH408" s="85"/>
      <c r="DI408" s="84"/>
      <c r="DK408" s="84"/>
      <c r="DP408" s="84"/>
      <c r="DU408" s="84"/>
      <c r="DY408" s="84"/>
      <c r="EC408" s="84"/>
      <c r="EG408" s="84"/>
      <c r="EK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128"/>
      <c r="AA409" s="129"/>
      <c r="AC409" s="130"/>
      <c r="AD409" s="128"/>
      <c r="AE409" s="129"/>
      <c r="AG409" s="130"/>
      <c r="AH409" s="128"/>
      <c r="AI409" s="129"/>
      <c r="AK409" s="130"/>
      <c r="AL409" s="128"/>
      <c r="AM409" s="129"/>
      <c r="AO409" s="130"/>
      <c r="AP409" s="128"/>
      <c r="AQ409" s="129"/>
      <c r="AS409" s="130"/>
      <c r="AT409" s="128"/>
      <c r="AU409" s="129"/>
      <c r="AW409" s="130"/>
      <c r="AX409" s="85"/>
      <c r="AY409" s="84"/>
      <c r="AZ409" s="84"/>
      <c r="BA409" s="131"/>
      <c r="BB409" s="84"/>
      <c r="BE409" s="84"/>
      <c r="BI409" s="86"/>
      <c r="BO409" s="84"/>
      <c r="BT409" s="84"/>
      <c r="BY409" s="84"/>
      <c r="CD409" s="84"/>
      <c r="CI409" s="128"/>
      <c r="CJ409" s="129"/>
      <c r="CL409" s="132"/>
      <c r="CM409" s="128"/>
      <c r="CN409" s="129"/>
      <c r="CP409" s="132"/>
      <c r="CQ409" s="128"/>
      <c r="CR409" s="129"/>
      <c r="CT409" s="132"/>
      <c r="CU409" s="128"/>
      <c r="CV409" s="129"/>
      <c r="CX409" s="132"/>
      <c r="CY409" s="128"/>
      <c r="CZ409" s="129"/>
      <c r="DB409" s="132"/>
      <c r="DC409" s="128"/>
      <c r="DD409" s="129"/>
      <c r="DF409" s="132"/>
      <c r="DG409" s="85"/>
      <c r="DH409" s="85"/>
      <c r="DI409" s="84"/>
      <c r="DK409" s="84"/>
      <c r="DP409" s="84"/>
      <c r="DU409" s="84"/>
      <c r="DY409" s="84"/>
      <c r="EC409" s="84"/>
      <c r="EG409" s="84"/>
      <c r="EK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128"/>
      <c r="AA410" s="129"/>
      <c r="AC410" s="130"/>
      <c r="AD410" s="128"/>
      <c r="AE410" s="129"/>
      <c r="AG410" s="130"/>
      <c r="AH410" s="128"/>
      <c r="AI410" s="129"/>
      <c r="AK410" s="130"/>
      <c r="AL410" s="128"/>
      <c r="AM410" s="129"/>
      <c r="AO410" s="130"/>
      <c r="AP410" s="128"/>
      <c r="AQ410" s="129"/>
      <c r="AS410" s="130"/>
      <c r="AT410" s="128"/>
      <c r="AU410" s="129"/>
      <c r="AW410" s="130"/>
      <c r="AX410" s="85"/>
      <c r="AY410" s="84"/>
      <c r="AZ410" s="84"/>
      <c r="BA410" s="131"/>
      <c r="BB410" s="84"/>
      <c r="BE410" s="84"/>
      <c r="BI410" s="86"/>
      <c r="BO410" s="84"/>
      <c r="BT410" s="84"/>
      <c r="BY410" s="84"/>
      <c r="CD410" s="84"/>
      <c r="CI410" s="128"/>
      <c r="CJ410" s="129"/>
      <c r="CL410" s="132"/>
      <c r="CM410" s="128"/>
      <c r="CN410" s="129"/>
      <c r="CP410" s="132"/>
      <c r="CQ410" s="128"/>
      <c r="CR410" s="129"/>
      <c r="CT410" s="132"/>
      <c r="CU410" s="128"/>
      <c r="CV410" s="129"/>
      <c r="CX410" s="132"/>
      <c r="CY410" s="128"/>
      <c r="CZ410" s="129"/>
      <c r="DB410" s="132"/>
      <c r="DC410" s="128"/>
      <c r="DD410" s="129"/>
      <c r="DF410" s="132"/>
      <c r="DG410" s="85"/>
      <c r="DH410" s="85"/>
      <c r="DI410" s="84"/>
      <c r="DK410" s="84"/>
      <c r="DP410" s="84"/>
      <c r="DU410" s="84"/>
      <c r="DY410" s="84"/>
      <c r="EC410" s="84"/>
      <c r="EG410" s="84"/>
      <c r="EK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128"/>
      <c r="AA411" s="129"/>
      <c r="AC411" s="130"/>
      <c r="AD411" s="128"/>
      <c r="AE411" s="129"/>
      <c r="AG411" s="130"/>
      <c r="AH411" s="128"/>
      <c r="AI411" s="129"/>
      <c r="AK411" s="130"/>
      <c r="AL411" s="128"/>
      <c r="AM411" s="129"/>
      <c r="AO411" s="130"/>
      <c r="AP411" s="128"/>
      <c r="AQ411" s="129"/>
      <c r="AS411" s="130"/>
      <c r="AT411" s="128"/>
      <c r="AU411" s="129"/>
      <c r="AW411" s="130"/>
      <c r="AX411" s="85"/>
      <c r="AY411" s="84"/>
      <c r="AZ411" s="84"/>
      <c r="BA411" s="131"/>
      <c r="BB411" s="84"/>
      <c r="BE411" s="84"/>
      <c r="BI411" s="86"/>
      <c r="BO411" s="84"/>
      <c r="BT411" s="84"/>
      <c r="BY411" s="84"/>
      <c r="CD411" s="84"/>
      <c r="CI411" s="128"/>
      <c r="CJ411" s="129"/>
      <c r="CL411" s="132"/>
      <c r="CM411" s="128"/>
      <c r="CN411" s="129"/>
      <c r="CP411" s="132"/>
      <c r="CQ411" s="128"/>
      <c r="CR411" s="129"/>
      <c r="CT411" s="132"/>
      <c r="CU411" s="128"/>
      <c r="CV411" s="129"/>
      <c r="CX411" s="132"/>
      <c r="CY411" s="128"/>
      <c r="CZ411" s="129"/>
      <c r="DB411" s="132"/>
      <c r="DC411" s="128"/>
      <c r="DD411" s="129"/>
      <c r="DF411" s="132"/>
      <c r="DG411" s="85"/>
      <c r="DH411" s="85"/>
      <c r="DI411" s="84"/>
      <c r="DK411" s="84"/>
      <c r="DP411" s="84"/>
      <c r="DU411" s="84"/>
      <c r="DY411" s="84"/>
      <c r="EC411" s="84"/>
      <c r="EG411" s="84"/>
      <c r="EK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128"/>
      <c r="AA412" s="129"/>
      <c r="AC412" s="130"/>
      <c r="AD412" s="128"/>
      <c r="AE412" s="129"/>
      <c r="AG412" s="130"/>
      <c r="AH412" s="128"/>
      <c r="AI412" s="129"/>
      <c r="AK412" s="130"/>
      <c r="AL412" s="128"/>
      <c r="AM412" s="129"/>
      <c r="AO412" s="130"/>
      <c r="AP412" s="128"/>
      <c r="AQ412" s="129"/>
      <c r="AS412" s="130"/>
      <c r="AT412" s="128"/>
      <c r="AU412" s="129"/>
      <c r="AW412" s="130"/>
      <c r="AX412" s="85"/>
      <c r="AY412" s="84"/>
      <c r="AZ412" s="84"/>
      <c r="BA412" s="131"/>
      <c r="BB412" s="84"/>
      <c r="BE412" s="84"/>
      <c r="BI412" s="86"/>
      <c r="BO412" s="84"/>
      <c r="BT412" s="84"/>
      <c r="BY412" s="84"/>
      <c r="CD412" s="84"/>
      <c r="CI412" s="128"/>
      <c r="CJ412" s="129"/>
      <c r="CL412" s="132"/>
      <c r="CM412" s="128"/>
      <c r="CN412" s="129"/>
      <c r="CP412" s="132"/>
      <c r="CQ412" s="128"/>
      <c r="CR412" s="129"/>
      <c r="CT412" s="132"/>
      <c r="CU412" s="128"/>
      <c r="CV412" s="129"/>
      <c r="CX412" s="132"/>
      <c r="CY412" s="128"/>
      <c r="CZ412" s="129"/>
      <c r="DB412" s="132"/>
      <c r="DC412" s="128"/>
      <c r="DD412" s="129"/>
      <c r="DF412" s="132"/>
      <c r="DG412" s="85"/>
      <c r="DH412" s="85"/>
      <c r="DI412" s="84"/>
      <c r="DK412" s="84"/>
      <c r="DP412" s="84"/>
      <c r="DU412" s="84"/>
      <c r="DY412" s="84"/>
      <c r="EC412" s="84"/>
      <c r="EG412" s="84"/>
      <c r="EK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128"/>
      <c r="AA413" s="129"/>
      <c r="AC413" s="130"/>
      <c r="AD413" s="128"/>
      <c r="AE413" s="129"/>
      <c r="AG413" s="130"/>
      <c r="AH413" s="128"/>
      <c r="AI413" s="129"/>
      <c r="AK413" s="130"/>
      <c r="AL413" s="128"/>
      <c r="AM413" s="129"/>
      <c r="AO413" s="130"/>
      <c r="AP413" s="128"/>
      <c r="AQ413" s="129"/>
      <c r="AS413" s="130"/>
      <c r="AT413" s="128"/>
      <c r="AU413" s="129"/>
      <c r="AW413" s="130"/>
      <c r="AX413" s="85"/>
      <c r="AY413" s="84"/>
      <c r="AZ413" s="84"/>
      <c r="BA413" s="131"/>
      <c r="BB413" s="84"/>
      <c r="BE413" s="84"/>
      <c r="BI413" s="86"/>
      <c r="BO413" s="84"/>
      <c r="BT413" s="84"/>
      <c r="BY413" s="84"/>
      <c r="CD413" s="84"/>
      <c r="CI413" s="128"/>
      <c r="CJ413" s="129"/>
      <c r="CL413" s="132"/>
      <c r="CM413" s="128"/>
      <c r="CN413" s="129"/>
      <c r="CP413" s="132"/>
      <c r="CQ413" s="128"/>
      <c r="CR413" s="129"/>
      <c r="CT413" s="132"/>
      <c r="CU413" s="128"/>
      <c r="CV413" s="129"/>
      <c r="CX413" s="132"/>
      <c r="CY413" s="128"/>
      <c r="CZ413" s="129"/>
      <c r="DB413" s="132"/>
      <c r="DC413" s="128"/>
      <c r="DD413" s="129"/>
      <c r="DF413" s="132"/>
      <c r="DG413" s="85"/>
      <c r="DH413" s="85"/>
      <c r="DI413" s="84"/>
      <c r="DK413" s="84"/>
      <c r="DP413" s="84"/>
      <c r="DU413" s="84"/>
      <c r="DY413" s="84"/>
      <c r="EC413" s="84"/>
      <c r="EG413" s="84"/>
      <c r="EK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128"/>
      <c r="AA414" s="129"/>
      <c r="AC414" s="130"/>
      <c r="AD414" s="128"/>
      <c r="AE414" s="129"/>
      <c r="AG414" s="130"/>
      <c r="AH414" s="128"/>
      <c r="AI414" s="129"/>
      <c r="AK414" s="130"/>
      <c r="AL414" s="128"/>
      <c r="AM414" s="129"/>
      <c r="AO414" s="130"/>
      <c r="AP414" s="128"/>
      <c r="AQ414" s="129"/>
      <c r="AS414" s="130"/>
      <c r="AT414" s="128"/>
      <c r="AU414" s="129"/>
      <c r="AW414" s="130"/>
      <c r="AX414" s="85"/>
      <c r="AY414" s="84"/>
      <c r="AZ414" s="84"/>
      <c r="BA414" s="131"/>
      <c r="BB414" s="84"/>
      <c r="BE414" s="84"/>
      <c r="BI414" s="86"/>
      <c r="BO414" s="84"/>
      <c r="BT414" s="84"/>
      <c r="BY414" s="84"/>
      <c r="CD414" s="84"/>
      <c r="CI414" s="128"/>
      <c r="CJ414" s="129"/>
      <c r="CL414" s="132"/>
      <c r="CM414" s="128"/>
      <c r="CN414" s="129"/>
      <c r="CP414" s="132"/>
      <c r="CQ414" s="128"/>
      <c r="CR414" s="129"/>
      <c r="CT414" s="132"/>
      <c r="CU414" s="128"/>
      <c r="CV414" s="129"/>
      <c r="CX414" s="132"/>
      <c r="CY414" s="128"/>
      <c r="CZ414" s="129"/>
      <c r="DB414" s="132"/>
      <c r="DC414" s="128"/>
      <c r="DD414" s="129"/>
      <c r="DF414" s="132"/>
      <c r="DG414" s="85"/>
      <c r="DH414" s="85"/>
      <c r="DI414" s="84"/>
      <c r="DK414" s="84"/>
      <c r="DP414" s="84"/>
      <c r="DU414" s="84"/>
      <c r="DY414" s="84"/>
      <c r="EC414" s="84"/>
      <c r="EG414" s="84"/>
      <c r="EK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128"/>
      <c r="AA415" s="129"/>
      <c r="AC415" s="130"/>
      <c r="AD415" s="128"/>
      <c r="AE415" s="129"/>
      <c r="AG415" s="130"/>
      <c r="AH415" s="128"/>
      <c r="AI415" s="129"/>
      <c r="AK415" s="130"/>
      <c r="AL415" s="128"/>
      <c r="AM415" s="129"/>
      <c r="AO415" s="130"/>
      <c r="AP415" s="128"/>
      <c r="AQ415" s="129"/>
      <c r="AS415" s="130"/>
      <c r="AT415" s="128"/>
      <c r="AU415" s="129"/>
      <c r="AW415" s="130"/>
      <c r="AX415" s="85"/>
      <c r="AY415" s="84"/>
      <c r="AZ415" s="84"/>
      <c r="BA415" s="131"/>
      <c r="BB415" s="84"/>
      <c r="BE415" s="84"/>
      <c r="BI415" s="86"/>
      <c r="BO415" s="84"/>
      <c r="BT415" s="84"/>
      <c r="BY415" s="84"/>
      <c r="CD415" s="84"/>
      <c r="CI415" s="128"/>
      <c r="CJ415" s="129"/>
      <c r="CL415" s="132"/>
      <c r="CM415" s="128"/>
      <c r="CN415" s="129"/>
      <c r="CP415" s="132"/>
      <c r="CQ415" s="128"/>
      <c r="CR415" s="129"/>
      <c r="CT415" s="132"/>
      <c r="CU415" s="128"/>
      <c r="CV415" s="129"/>
      <c r="CX415" s="132"/>
      <c r="CY415" s="128"/>
      <c r="CZ415" s="129"/>
      <c r="DB415" s="132"/>
      <c r="DC415" s="128"/>
      <c r="DD415" s="129"/>
      <c r="DF415" s="132"/>
      <c r="DG415" s="85"/>
      <c r="DH415" s="85"/>
      <c r="DI415" s="84"/>
      <c r="DK415" s="84"/>
      <c r="DP415" s="84"/>
      <c r="DU415" s="84"/>
      <c r="DY415" s="84"/>
      <c r="EC415" s="84"/>
      <c r="EG415" s="84"/>
      <c r="EK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128"/>
      <c r="AA416" s="129"/>
      <c r="AC416" s="130"/>
      <c r="AD416" s="128"/>
      <c r="AE416" s="129"/>
      <c r="AG416" s="130"/>
      <c r="AH416" s="128"/>
      <c r="AI416" s="129"/>
      <c r="AK416" s="130"/>
      <c r="AL416" s="128"/>
      <c r="AM416" s="129"/>
      <c r="AO416" s="130"/>
      <c r="AP416" s="128"/>
      <c r="AQ416" s="129"/>
      <c r="AS416" s="130"/>
      <c r="AT416" s="128"/>
      <c r="AU416" s="129"/>
      <c r="AW416" s="130"/>
      <c r="AX416" s="85"/>
      <c r="AY416" s="84"/>
      <c r="AZ416" s="84"/>
      <c r="BA416" s="131"/>
      <c r="BB416" s="84"/>
      <c r="BE416" s="84"/>
      <c r="BI416" s="86"/>
      <c r="BO416" s="84"/>
      <c r="BT416" s="84"/>
      <c r="BY416" s="84"/>
      <c r="CD416" s="84"/>
      <c r="CI416" s="128"/>
      <c r="CJ416" s="129"/>
      <c r="CL416" s="132"/>
      <c r="CM416" s="128"/>
      <c r="CN416" s="129"/>
      <c r="CP416" s="132"/>
      <c r="CQ416" s="128"/>
      <c r="CR416" s="129"/>
      <c r="CT416" s="132"/>
      <c r="CU416" s="128"/>
      <c r="CV416" s="129"/>
      <c r="CX416" s="132"/>
      <c r="CY416" s="128"/>
      <c r="CZ416" s="129"/>
      <c r="DB416" s="132"/>
      <c r="DC416" s="128"/>
      <c r="DD416" s="129"/>
      <c r="DF416" s="132"/>
      <c r="DG416" s="85"/>
      <c r="DH416" s="85"/>
      <c r="DI416" s="84"/>
      <c r="DK416" s="84"/>
      <c r="DP416" s="84"/>
      <c r="DU416" s="84"/>
      <c r="DY416" s="84"/>
      <c r="EC416" s="84"/>
      <c r="EG416" s="84"/>
      <c r="EK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128"/>
      <c r="AA417" s="129"/>
      <c r="AC417" s="130"/>
      <c r="AD417" s="128"/>
      <c r="AE417" s="129"/>
      <c r="AG417" s="130"/>
      <c r="AH417" s="128"/>
      <c r="AI417" s="129"/>
      <c r="AK417" s="130"/>
      <c r="AL417" s="128"/>
      <c r="AM417" s="129"/>
      <c r="AO417" s="130"/>
      <c r="AP417" s="128"/>
      <c r="AQ417" s="129"/>
      <c r="AS417" s="130"/>
      <c r="AT417" s="128"/>
      <c r="AU417" s="129"/>
      <c r="AW417" s="130"/>
      <c r="AX417" s="85"/>
      <c r="AY417" s="84"/>
      <c r="AZ417" s="84"/>
      <c r="BA417" s="131"/>
      <c r="BB417" s="84"/>
      <c r="BE417" s="84"/>
      <c r="BI417" s="86"/>
      <c r="BO417" s="84"/>
      <c r="BT417" s="84"/>
      <c r="BY417" s="84"/>
      <c r="CD417" s="84"/>
      <c r="CI417" s="128"/>
      <c r="CJ417" s="129"/>
      <c r="CL417" s="132"/>
      <c r="CM417" s="128"/>
      <c r="CN417" s="129"/>
      <c r="CP417" s="132"/>
      <c r="CQ417" s="128"/>
      <c r="CR417" s="129"/>
      <c r="CT417" s="132"/>
      <c r="CU417" s="128"/>
      <c r="CV417" s="129"/>
      <c r="CX417" s="132"/>
      <c r="CY417" s="128"/>
      <c r="CZ417" s="129"/>
      <c r="DB417" s="132"/>
      <c r="DC417" s="128"/>
      <c r="DD417" s="129"/>
      <c r="DF417" s="132"/>
      <c r="DG417" s="85"/>
      <c r="DH417" s="85"/>
      <c r="DI417" s="84"/>
      <c r="DK417" s="84"/>
      <c r="DP417" s="84"/>
      <c r="DU417" s="84"/>
      <c r="DY417" s="84"/>
      <c r="EC417" s="84"/>
      <c r="EG417" s="84"/>
      <c r="EK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128"/>
      <c r="AA418" s="129"/>
      <c r="AC418" s="130"/>
      <c r="AD418" s="128"/>
      <c r="AE418" s="129"/>
      <c r="AG418" s="130"/>
      <c r="AH418" s="128"/>
      <c r="AI418" s="129"/>
      <c r="AK418" s="130"/>
      <c r="AL418" s="128"/>
      <c r="AM418" s="129"/>
      <c r="AO418" s="130"/>
      <c r="AP418" s="128"/>
      <c r="AQ418" s="129"/>
      <c r="AS418" s="130"/>
      <c r="AT418" s="128"/>
      <c r="AU418" s="129"/>
      <c r="AW418" s="130"/>
      <c r="AX418" s="85"/>
      <c r="AY418" s="84"/>
      <c r="AZ418" s="84"/>
      <c r="BA418" s="131"/>
      <c r="BB418" s="84"/>
      <c r="BE418" s="84"/>
      <c r="BI418" s="86"/>
      <c r="BO418" s="84"/>
      <c r="BT418" s="84"/>
      <c r="BY418" s="84"/>
      <c r="CD418" s="84"/>
      <c r="CI418" s="128"/>
      <c r="CJ418" s="129"/>
      <c r="CL418" s="132"/>
      <c r="CM418" s="128"/>
      <c r="CN418" s="129"/>
      <c r="CP418" s="132"/>
      <c r="CQ418" s="128"/>
      <c r="CR418" s="129"/>
      <c r="CT418" s="132"/>
      <c r="CU418" s="128"/>
      <c r="CV418" s="129"/>
      <c r="CX418" s="132"/>
      <c r="CY418" s="128"/>
      <c r="CZ418" s="129"/>
      <c r="DB418" s="132"/>
      <c r="DC418" s="128"/>
      <c r="DD418" s="129"/>
      <c r="DF418" s="132"/>
      <c r="DG418" s="85"/>
      <c r="DH418" s="85"/>
      <c r="DI418" s="84"/>
      <c r="DK418" s="84"/>
      <c r="DP418" s="84"/>
      <c r="DU418" s="84"/>
      <c r="DY418" s="84"/>
      <c r="EC418" s="84"/>
      <c r="EG418" s="84"/>
      <c r="EK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128"/>
      <c r="AA419" s="129"/>
      <c r="AC419" s="130"/>
      <c r="AD419" s="128"/>
      <c r="AE419" s="129"/>
      <c r="AG419" s="130"/>
      <c r="AH419" s="128"/>
      <c r="AI419" s="129"/>
      <c r="AK419" s="130"/>
      <c r="AL419" s="128"/>
      <c r="AM419" s="129"/>
      <c r="AO419" s="130"/>
      <c r="AP419" s="128"/>
      <c r="AQ419" s="129"/>
      <c r="AS419" s="130"/>
      <c r="AT419" s="128"/>
      <c r="AU419" s="129"/>
      <c r="AW419" s="130"/>
      <c r="AX419" s="85"/>
      <c r="AY419" s="84"/>
      <c r="AZ419" s="84"/>
      <c r="BA419" s="131"/>
      <c r="BB419" s="84"/>
      <c r="BE419" s="84"/>
      <c r="BI419" s="86"/>
      <c r="BO419" s="84"/>
      <c r="BT419" s="84"/>
      <c r="BY419" s="84"/>
      <c r="CD419" s="84"/>
      <c r="CI419" s="128"/>
      <c r="CJ419" s="129"/>
      <c r="CL419" s="132"/>
      <c r="CM419" s="128"/>
      <c r="CN419" s="129"/>
      <c r="CP419" s="132"/>
      <c r="CQ419" s="128"/>
      <c r="CR419" s="129"/>
      <c r="CT419" s="132"/>
      <c r="CU419" s="128"/>
      <c r="CV419" s="129"/>
      <c r="CX419" s="132"/>
      <c r="CY419" s="128"/>
      <c r="CZ419" s="129"/>
      <c r="DB419" s="132"/>
      <c r="DC419" s="128"/>
      <c r="DD419" s="129"/>
      <c r="DF419" s="132"/>
      <c r="DG419" s="85"/>
      <c r="DH419" s="85"/>
      <c r="DI419" s="84"/>
      <c r="DK419" s="84"/>
      <c r="DP419" s="84"/>
      <c r="DU419" s="84"/>
      <c r="DY419" s="84"/>
      <c r="EC419" s="84"/>
      <c r="EG419" s="84"/>
      <c r="EK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128"/>
      <c r="AA420" s="129"/>
      <c r="AC420" s="130"/>
      <c r="AD420" s="128"/>
      <c r="AE420" s="129"/>
      <c r="AG420" s="130"/>
      <c r="AH420" s="128"/>
      <c r="AI420" s="129"/>
      <c r="AK420" s="130"/>
      <c r="AL420" s="128"/>
      <c r="AM420" s="129"/>
      <c r="AO420" s="130"/>
      <c r="AP420" s="128"/>
      <c r="AQ420" s="129"/>
      <c r="AS420" s="130"/>
      <c r="AT420" s="128"/>
      <c r="AU420" s="129"/>
      <c r="AW420" s="130"/>
      <c r="AX420" s="85"/>
      <c r="AY420" s="84"/>
      <c r="AZ420" s="84"/>
      <c r="BA420" s="131"/>
      <c r="BB420" s="84"/>
      <c r="BE420" s="84"/>
      <c r="BI420" s="86"/>
      <c r="BO420" s="84"/>
      <c r="BT420" s="84"/>
      <c r="BY420" s="84"/>
      <c r="CD420" s="84"/>
      <c r="CI420" s="128"/>
      <c r="CJ420" s="129"/>
      <c r="CL420" s="132"/>
      <c r="CM420" s="128"/>
      <c r="CN420" s="129"/>
      <c r="CP420" s="132"/>
      <c r="CQ420" s="128"/>
      <c r="CR420" s="129"/>
      <c r="CT420" s="132"/>
      <c r="CU420" s="128"/>
      <c r="CV420" s="129"/>
      <c r="CX420" s="132"/>
      <c r="CY420" s="128"/>
      <c r="CZ420" s="129"/>
      <c r="DB420" s="132"/>
      <c r="DC420" s="128"/>
      <c r="DD420" s="129"/>
      <c r="DF420" s="132"/>
      <c r="DG420" s="85"/>
      <c r="DH420" s="85"/>
      <c r="DI420" s="84"/>
      <c r="DK420" s="84"/>
      <c r="DP420" s="84"/>
      <c r="DU420" s="84"/>
      <c r="DY420" s="84"/>
      <c r="EC420" s="84"/>
      <c r="EG420" s="84"/>
      <c r="EK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128"/>
      <c r="AA421" s="129"/>
      <c r="AC421" s="130"/>
      <c r="AD421" s="128"/>
      <c r="AE421" s="129"/>
      <c r="AG421" s="130"/>
      <c r="AH421" s="128"/>
      <c r="AI421" s="129"/>
      <c r="AK421" s="130"/>
      <c r="AL421" s="128"/>
      <c r="AM421" s="129"/>
      <c r="AO421" s="130"/>
      <c r="AP421" s="128"/>
      <c r="AQ421" s="129"/>
      <c r="AS421" s="130"/>
      <c r="AT421" s="128"/>
      <c r="AU421" s="129"/>
      <c r="AW421" s="130"/>
      <c r="AX421" s="85"/>
      <c r="AY421" s="84"/>
      <c r="AZ421" s="84"/>
      <c r="BA421" s="131"/>
      <c r="BB421" s="84"/>
      <c r="BE421" s="84"/>
      <c r="BI421" s="86"/>
      <c r="BO421" s="84"/>
      <c r="BT421" s="84"/>
      <c r="BY421" s="84"/>
      <c r="CD421" s="84"/>
      <c r="CI421" s="128"/>
      <c r="CJ421" s="129"/>
      <c r="CL421" s="132"/>
      <c r="CM421" s="128"/>
      <c r="CN421" s="129"/>
      <c r="CP421" s="132"/>
      <c r="CQ421" s="128"/>
      <c r="CR421" s="129"/>
      <c r="CT421" s="132"/>
      <c r="CU421" s="128"/>
      <c r="CV421" s="129"/>
      <c r="CX421" s="132"/>
      <c r="CY421" s="128"/>
      <c r="CZ421" s="129"/>
      <c r="DB421" s="132"/>
      <c r="DC421" s="128"/>
      <c r="DD421" s="129"/>
      <c r="DF421" s="132"/>
      <c r="DG421" s="85"/>
      <c r="DH421" s="85"/>
      <c r="DI421" s="84"/>
      <c r="DK421" s="84"/>
      <c r="DP421" s="84"/>
      <c r="DU421" s="84"/>
      <c r="DY421" s="84"/>
      <c r="EC421" s="84"/>
      <c r="EG421" s="84"/>
      <c r="EK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128"/>
      <c r="AA422" s="129"/>
      <c r="AC422" s="130"/>
      <c r="AD422" s="128"/>
      <c r="AE422" s="129"/>
      <c r="AG422" s="130"/>
      <c r="AH422" s="128"/>
      <c r="AI422" s="129"/>
      <c r="AK422" s="130"/>
      <c r="AL422" s="128"/>
      <c r="AM422" s="129"/>
      <c r="AO422" s="130"/>
      <c r="AP422" s="128"/>
      <c r="AQ422" s="129"/>
      <c r="AS422" s="130"/>
      <c r="AT422" s="128"/>
      <c r="AU422" s="129"/>
      <c r="AW422" s="130"/>
      <c r="AX422" s="85"/>
      <c r="AY422" s="84"/>
      <c r="AZ422" s="84"/>
      <c r="BA422" s="131"/>
      <c r="BB422" s="84"/>
      <c r="BE422" s="84"/>
      <c r="BI422" s="86"/>
      <c r="BO422" s="84"/>
      <c r="BT422" s="84"/>
      <c r="BY422" s="84"/>
      <c r="CD422" s="84"/>
      <c r="CI422" s="128"/>
      <c r="CJ422" s="129"/>
      <c r="CL422" s="132"/>
      <c r="CM422" s="128"/>
      <c r="CN422" s="129"/>
      <c r="CP422" s="132"/>
      <c r="CQ422" s="128"/>
      <c r="CR422" s="129"/>
      <c r="CT422" s="132"/>
      <c r="CU422" s="128"/>
      <c r="CV422" s="129"/>
      <c r="CX422" s="132"/>
      <c r="CY422" s="128"/>
      <c r="CZ422" s="129"/>
      <c r="DB422" s="132"/>
      <c r="DC422" s="128"/>
      <c r="DD422" s="129"/>
      <c r="DF422" s="132"/>
      <c r="DG422" s="85"/>
      <c r="DH422" s="85"/>
      <c r="DI422" s="84"/>
      <c r="DK422" s="84"/>
      <c r="DP422" s="84"/>
      <c r="DU422" s="84"/>
      <c r="DY422" s="84"/>
      <c r="EC422" s="84"/>
      <c r="EG422" s="84"/>
      <c r="EK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128"/>
      <c r="AA423" s="129"/>
      <c r="AC423" s="130"/>
      <c r="AD423" s="128"/>
      <c r="AE423" s="129"/>
      <c r="AG423" s="130"/>
      <c r="AH423" s="128"/>
      <c r="AI423" s="129"/>
      <c r="AK423" s="130"/>
      <c r="AL423" s="128"/>
      <c r="AM423" s="129"/>
      <c r="AO423" s="130"/>
      <c r="AP423" s="128"/>
      <c r="AQ423" s="129"/>
      <c r="AS423" s="130"/>
      <c r="AT423" s="128"/>
      <c r="AU423" s="129"/>
      <c r="AW423" s="130"/>
      <c r="AX423" s="85"/>
      <c r="AY423" s="84"/>
      <c r="AZ423" s="84"/>
      <c r="BA423" s="131"/>
      <c r="BB423" s="84"/>
      <c r="BE423" s="84"/>
      <c r="BI423" s="86"/>
      <c r="BO423" s="84"/>
      <c r="BT423" s="84"/>
      <c r="BY423" s="84"/>
      <c r="CD423" s="84"/>
      <c r="CI423" s="128"/>
      <c r="CJ423" s="129"/>
      <c r="CL423" s="132"/>
      <c r="CM423" s="128"/>
      <c r="CN423" s="129"/>
      <c r="CP423" s="132"/>
      <c r="CQ423" s="128"/>
      <c r="CR423" s="129"/>
      <c r="CT423" s="132"/>
      <c r="CU423" s="128"/>
      <c r="CV423" s="129"/>
      <c r="CX423" s="132"/>
      <c r="CY423" s="128"/>
      <c r="CZ423" s="129"/>
      <c r="DB423" s="132"/>
      <c r="DC423" s="128"/>
      <c r="DD423" s="129"/>
      <c r="DF423" s="132"/>
      <c r="DG423" s="85"/>
      <c r="DH423" s="85"/>
      <c r="DI423" s="84"/>
      <c r="DK423" s="84"/>
      <c r="DP423" s="84"/>
      <c r="DU423" s="84"/>
      <c r="DY423" s="84"/>
      <c r="EC423" s="84"/>
      <c r="EG423" s="84"/>
      <c r="EK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128"/>
      <c r="AA424" s="129"/>
      <c r="AC424" s="130"/>
      <c r="AD424" s="128"/>
      <c r="AE424" s="129"/>
      <c r="AG424" s="130"/>
      <c r="AH424" s="128"/>
      <c r="AI424" s="129"/>
      <c r="AK424" s="130"/>
      <c r="AL424" s="128"/>
      <c r="AM424" s="129"/>
      <c r="AO424" s="130"/>
      <c r="AP424" s="128"/>
      <c r="AQ424" s="129"/>
      <c r="AS424" s="130"/>
      <c r="AT424" s="128"/>
      <c r="AU424" s="129"/>
      <c r="AW424" s="130"/>
      <c r="AX424" s="85"/>
      <c r="AY424" s="84"/>
      <c r="AZ424" s="84"/>
      <c r="BA424" s="131"/>
      <c r="BB424" s="84"/>
      <c r="BE424" s="84"/>
      <c r="BI424" s="86"/>
      <c r="BO424" s="84"/>
      <c r="BT424" s="84"/>
      <c r="BY424" s="84"/>
      <c r="CD424" s="84"/>
      <c r="CI424" s="128"/>
      <c r="CJ424" s="129"/>
      <c r="CL424" s="132"/>
      <c r="CM424" s="128"/>
      <c r="CN424" s="129"/>
      <c r="CP424" s="132"/>
      <c r="CQ424" s="128"/>
      <c r="CR424" s="129"/>
      <c r="CT424" s="132"/>
      <c r="CU424" s="128"/>
      <c r="CV424" s="129"/>
      <c r="CX424" s="132"/>
      <c r="CY424" s="128"/>
      <c r="CZ424" s="129"/>
      <c r="DB424" s="132"/>
      <c r="DC424" s="128"/>
      <c r="DD424" s="129"/>
      <c r="DF424" s="132"/>
      <c r="DG424" s="85"/>
      <c r="DH424" s="85"/>
      <c r="DI424" s="84"/>
      <c r="DK424" s="84"/>
      <c r="DP424" s="84"/>
      <c r="DU424" s="84"/>
      <c r="DY424" s="84"/>
      <c r="EC424" s="84"/>
      <c r="EG424" s="84"/>
      <c r="EK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128"/>
      <c r="AA425" s="129"/>
      <c r="AC425" s="130"/>
      <c r="AD425" s="128"/>
      <c r="AE425" s="129"/>
      <c r="AG425" s="130"/>
      <c r="AH425" s="128"/>
      <c r="AI425" s="129"/>
      <c r="AK425" s="130"/>
      <c r="AL425" s="128"/>
      <c r="AM425" s="129"/>
      <c r="AO425" s="130"/>
      <c r="AP425" s="128"/>
      <c r="AQ425" s="129"/>
      <c r="AS425" s="130"/>
      <c r="AT425" s="128"/>
      <c r="AU425" s="129"/>
      <c r="AW425" s="130"/>
      <c r="AX425" s="85"/>
      <c r="AY425" s="84"/>
      <c r="AZ425" s="84"/>
      <c r="BA425" s="131"/>
      <c r="BB425" s="84"/>
      <c r="BE425" s="84"/>
      <c r="BI425" s="86"/>
      <c r="BO425" s="84"/>
      <c r="BT425" s="84"/>
      <c r="BY425" s="84"/>
      <c r="CD425" s="84"/>
      <c r="CI425" s="128"/>
      <c r="CJ425" s="129"/>
      <c r="CL425" s="132"/>
      <c r="CM425" s="128"/>
      <c r="CN425" s="129"/>
      <c r="CP425" s="132"/>
      <c r="CQ425" s="128"/>
      <c r="CR425" s="129"/>
      <c r="CT425" s="132"/>
      <c r="CU425" s="128"/>
      <c r="CV425" s="129"/>
      <c r="CX425" s="132"/>
      <c r="CY425" s="128"/>
      <c r="CZ425" s="129"/>
      <c r="DB425" s="132"/>
      <c r="DC425" s="128"/>
      <c r="DD425" s="129"/>
      <c r="DF425" s="132"/>
      <c r="DG425" s="85"/>
      <c r="DH425" s="85"/>
      <c r="DI425" s="84"/>
      <c r="DK425" s="84"/>
      <c r="DP425" s="84"/>
      <c r="DU425" s="84"/>
      <c r="DY425" s="84"/>
      <c r="EC425" s="84"/>
      <c r="EG425" s="84"/>
      <c r="EK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128"/>
      <c r="AA426" s="129"/>
      <c r="AC426" s="130"/>
      <c r="AD426" s="128"/>
      <c r="AE426" s="129"/>
      <c r="AG426" s="130"/>
      <c r="AH426" s="128"/>
      <c r="AI426" s="129"/>
      <c r="AK426" s="130"/>
      <c r="AL426" s="128"/>
      <c r="AM426" s="129"/>
      <c r="AO426" s="130"/>
      <c r="AP426" s="128"/>
      <c r="AQ426" s="129"/>
      <c r="AS426" s="130"/>
      <c r="AT426" s="128"/>
      <c r="AU426" s="129"/>
      <c r="AW426" s="130"/>
      <c r="AX426" s="85"/>
      <c r="AY426" s="84"/>
      <c r="AZ426" s="84"/>
      <c r="BA426" s="131"/>
      <c r="BB426" s="84"/>
      <c r="BE426" s="84"/>
      <c r="BI426" s="86"/>
      <c r="BO426" s="84"/>
      <c r="BT426" s="84"/>
      <c r="BY426" s="84"/>
      <c r="CD426" s="84"/>
      <c r="CI426" s="128"/>
      <c r="CJ426" s="129"/>
      <c r="CL426" s="132"/>
      <c r="CM426" s="128"/>
      <c r="CN426" s="129"/>
      <c r="CP426" s="132"/>
      <c r="CQ426" s="128"/>
      <c r="CR426" s="129"/>
      <c r="CT426" s="132"/>
      <c r="CU426" s="128"/>
      <c r="CV426" s="129"/>
      <c r="CX426" s="132"/>
      <c r="CY426" s="128"/>
      <c r="CZ426" s="129"/>
      <c r="DB426" s="132"/>
      <c r="DC426" s="128"/>
      <c r="DD426" s="129"/>
      <c r="DF426" s="132"/>
      <c r="DG426" s="85"/>
      <c r="DH426" s="85"/>
      <c r="DI426" s="84"/>
      <c r="DK426" s="84"/>
      <c r="DP426" s="84"/>
      <c r="DU426" s="84"/>
      <c r="DY426" s="84"/>
      <c r="EC426" s="84"/>
      <c r="EG426" s="84"/>
      <c r="EK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128"/>
      <c r="AA427" s="129"/>
      <c r="AC427" s="130"/>
      <c r="AD427" s="128"/>
      <c r="AE427" s="129"/>
      <c r="AG427" s="130"/>
      <c r="AH427" s="128"/>
      <c r="AI427" s="129"/>
      <c r="AK427" s="130"/>
      <c r="AL427" s="128"/>
      <c r="AM427" s="129"/>
      <c r="AO427" s="130"/>
      <c r="AP427" s="128"/>
      <c r="AQ427" s="129"/>
      <c r="AS427" s="130"/>
      <c r="AT427" s="128"/>
      <c r="AU427" s="129"/>
      <c r="AW427" s="130"/>
      <c r="AX427" s="85"/>
      <c r="AY427" s="84"/>
      <c r="AZ427" s="84"/>
      <c r="BA427" s="131"/>
      <c r="BB427" s="84"/>
      <c r="BE427" s="84"/>
      <c r="BI427" s="86"/>
      <c r="BO427" s="84"/>
      <c r="BT427" s="84"/>
      <c r="BY427" s="84"/>
      <c r="CD427" s="84"/>
      <c r="CI427" s="128"/>
      <c r="CJ427" s="129"/>
      <c r="CL427" s="132"/>
      <c r="CM427" s="128"/>
      <c r="CN427" s="129"/>
      <c r="CP427" s="132"/>
      <c r="CQ427" s="128"/>
      <c r="CR427" s="129"/>
      <c r="CT427" s="132"/>
      <c r="CU427" s="128"/>
      <c r="CV427" s="129"/>
      <c r="CX427" s="132"/>
      <c r="CY427" s="128"/>
      <c r="CZ427" s="129"/>
      <c r="DB427" s="132"/>
      <c r="DC427" s="128"/>
      <c r="DD427" s="129"/>
      <c r="DF427" s="132"/>
      <c r="DG427" s="85"/>
      <c r="DH427" s="85"/>
      <c r="DI427" s="84"/>
      <c r="DK427" s="84"/>
      <c r="DP427" s="84"/>
      <c r="DU427" s="84"/>
      <c r="DY427" s="84"/>
      <c r="EC427" s="84"/>
      <c r="EG427" s="84"/>
      <c r="EK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128"/>
      <c r="AA428" s="129"/>
      <c r="AC428" s="130"/>
      <c r="AD428" s="128"/>
      <c r="AE428" s="129"/>
      <c r="AG428" s="130"/>
      <c r="AH428" s="128"/>
      <c r="AI428" s="129"/>
      <c r="AK428" s="130"/>
      <c r="AL428" s="128"/>
      <c r="AM428" s="129"/>
      <c r="AO428" s="130"/>
      <c r="AP428" s="128"/>
      <c r="AQ428" s="129"/>
      <c r="AS428" s="130"/>
      <c r="AT428" s="128"/>
      <c r="AU428" s="129"/>
      <c r="AW428" s="130"/>
      <c r="AX428" s="85"/>
      <c r="AY428" s="84"/>
      <c r="AZ428" s="84"/>
      <c r="BA428" s="131"/>
      <c r="BB428" s="84"/>
      <c r="BE428" s="84"/>
      <c r="BI428" s="86"/>
      <c r="BO428" s="84"/>
      <c r="BT428" s="84"/>
      <c r="BY428" s="84"/>
      <c r="CD428" s="84"/>
      <c r="CI428" s="128"/>
      <c r="CJ428" s="129"/>
      <c r="CL428" s="132"/>
      <c r="CM428" s="128"/>
      <c r="CN428" s="129"/>
      <c r="CP428" s="132"/>
      <c r="CQ428" s="128"/>
      <c r="CR428" s="129"/>
      <c r="CT428" s="132"/>
      <c r="CU428" s="128"/>
      <c r="CV428" s="129"/>
      <c r="CX428" s="132"/>
      <c r="CY428" s="128"/>
      <c r="CZ428" s="129"/>
      <c r="DB428" s="132"/>
      <c r="DC428" s="128"/>
      <c r="DD428" s="129"/>
      <c r="DF428" s="132"/>
      <c r="DG428" s="85"/>
      <c r="DH428" s="85"/>
      <c r="DI428" s="84"/>
      <c r="DK428" s="84"/>
      <c r="DP428" s="84"/>
      <c r="DU428" s="84"/>
      <c r="DY428" s="84"/>
      <c r="EC428" s="84"/>
      <c r="EG428" s="84"/>
      <c r="EK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128"/>
      <c r="AA429" s="129"/>
      <c r="AC429" s="130"/>
      <c r="AD429" s="128"/>
      <c r="AE429" s="129"/>
      <c r="AG429" s="130"/>
      <c r="AH429" s="128"/>
      <c r="AI429" s="129"/>
      <c r="AK429" s="130"/>
      <c r="AL429" s="128"/>
      <c r="AM429" s="129"/>
      <c r="AO429" s="130"/>
      <c r="AP429" s="128"/>
      <c r="AQ429" s="129"/>
      <c r="AS429" s="130"/>
      <c r="AT429" s="128"/>
      <c r="AU429" s="129"/>
      <c r="AW429" s="130"/>
      <c r="AX429" s="85"/>
      <c r="AY429" s="84"/>
      <c r="AZ429" s="84"/>
      <c r="BA429" s="131"/>
      <c r="BB429" s="84"/>
      <c r="BE429" s="84"/>
      <c r="BI429" s="86"/>
      <c r="BO429" s="84"/>
      <c r="BT429" s="84"/>
      <c r="BY429" s="84"/>
      <c r="CD429" s="84"/>
      <c r="CI429" s="128"/>
      <c r="CJ429" s="129"/>
      <c r="CL429" s="132"/>
      <c r="CM429" s="128"/>
      <c r="CN429" s="129"/>
      <c r="CP429" s="132"/>
      <c r="CQ429" s="128"/>
      <c r="CR429" s="129"/>
      <c r="CT429" s="132"/>
      <c r="CU429" s="128"/>
      <c r="CV429" s="129"/>
      <c r="CX429" s="132"/>
      <c r="CY429" s="128"/>
      <c r="CZ429" s="129"/>
      <c r="DB429" s="132"/>
      <c r="DC429" s="128"/>
      <c r="DD429" s="129"/>
      <c r="DF429" s="132"/>
      <c r="DG429" s="85"/>
      <c r="DH429" s="85"/>
      <c r="DI429" s="84"/>
      <c r="DK429" s="84"/>
      <c r="DP429" s="84"/>
      <c r="DU429" s="84"/>
      <c r="DY429" s="84"/>
      <c r="EC429" s="84"/>
      <c r="EG429" s="84"/>
      <c r="EK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128"/>
      <c r="AA430" s="129"/>
      <c r="AC430" s="130"/>
      <c r="AD430" s="128"/>
      <c r="AE430" s="129"/>
      <c r="AG430" s="130"/>
      <c r="AH430" s="128"/>
      <c r="AI430" s="129"/>
      <c r="AK430" s="130"/>
      <c r="AL430" s="128"/>
      <c r="AM430" s="129"/>
      <c r="AO430" s="130"/>
      <c r="AP430" s="128"/>
      <c r="AQ430" s="129"/>
      <c r="AS430" s="130"/>
      <c r="AT430" s="128"/>
      <c r="AU430" s="129"/>
      <c r="AW430" s="130"/>
      <c r="AX430" s="85"/>
      <c r="AY430" s="84"/>
      <c r="AZ430" s="84"/>
      <c r="BA430" s="131"/>
      <c r="BB430" s="84"/>
      <c r="BE430" s="84"/>
      <c r="BI430" s="86"/>
      <c r="BO430" s="84"/>
      <c r="BT430" s="84"/>
      <c r="BY430" s="84"/>
      <c r="CD430" s="84"/>
      <c r="CI430" s="128"/>
      <c r="CJ430" s="129"/>
      <c r="CL430" s="132"/>
      <c r="CM430" s="128"/>
      <c r="CN430" s="129"/>
      <c r="CP430" s="132"/>
      <c r="CQ430" s="128"/>
      <c r="CR430" s="129"/>
      <c r="CT430" s="132"/>
      <c r="CU430" s="128"/>
      <c r="CV430" s="129"/>
      <c r="CX430" s="132"/>
      <c r="CY430" s="128"/>
      <c r="CZ430" s="129"/>
      <c r="DB430" s="132"/>
      <c r="DC430" s="128"/>
      <c r="DD430" s="129"/>
      <c r="DF430" s="132"/>
      <c r="DG430" s="85"/>
      <c r="DH430" s="85"/>
      <c r="DI430" s="84"/>
      <c r="DK430" s="84"/>
      <c r="DP430" s="84"/>
      <c r="DU430" s="84"/>
      <c r="DY430" s="84"/>
      <c r="EC430" s="84"/>
      <c r="EG430" s="84"/>
      <c r="EK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128"/>
      <c r="AA431" s="129"/>
      <c r="AC431" s="130"/>
      <c r="AD431" s="128"/>
      <c r="AE431" s="129"/>
      <c r="AG431" s="130"/>
      <c r="AH431" s="128"/>
      <c r="AI431" s="129"/>
      <c r="AK431" s="130"/>
      <c r="AL431" s="128"/>
      <c r="AM431" s="129"/>
      <c r="AO431" s="130"/>
      <c r="AP431" s="128"/>
      <c r="AQ431" s="129"/>
      <c r="AS431" s="130"/>
      <c r="AT431" s="128"/>
      <c r="AU431" s="129"/>
      <c r="AW431" s="130"/>
      <c r="AX431" s="85"/>
      <c r="AY431" s="84"/>
      <c r="AZ431" s="84"/>
      <c r="BA431" s="131"/>
      <c r="BB431" s="84"/>
      <c r="BE431" s="84"/>
      <c r="BI431" s="86"/>
      <c r="BO431" s="84"/>
      <c r="BT431" s="84"/>
      <c r="BY431" s="84"/>
      <c r="CD431" s="84"/>
      <c r="CI431" s="128"/>
      <c r="CJ431" s="129"/>
      <c r="CL431" s="132"/>
      <c r="CM431" s="128"/>
      <c r="CN431" s="129"/>
      <c r="CP431" s="132"/>
      <c r="CQ431" s="128"/>
      <c r="CR431" s="129"/>
      <c r="CT431" s="132"/>
      <c r="CU431" s="128"/>
      <c r="CV431" s="129"/>
      <c r="CX431" s="132"/>
      <c r="CY431" s="128"/>
      <c r="CZ431" s="129"/>
      <c r="DB431" s="132"/>
      <c r="DC431" s="128"/>
      <c r="DD431" s="129"/>
      <c r="DF431" s="132"/>
      <c r="DG431" s="85"/>
      <c r="DH431" s="85"/>
      <c r="DI431" s="84"/>
      <c r="DK431" s="84"/>
      <c r="DP431" s="84"/>
      <c r="DU431" s="84"/>
      <c r="DY431" s="84"/>
      <c r="EC431" s="84"/>
      <c r="EG431" s="84"/>
      <c r="EK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128"/>
      <c r="AA432" s="129"/>
      <c r="AC432" s="130"/>
      <c r="AD432" s="128"/>
      <c r="AE432" s="129"/>
      <c r="AG432" s="130"/>
      <c r="AH432" s="128"/>
      <c r="AI432" s="129"/>
      <c r="AK432" s="130"/>
      <c r="AL432" s="128"/>
      <c r="AM432" s="129"/>
      <c r="AO432" s="130"/>
      <c r="AP432" s="128"/>
      <c r="AQ432" s="129"/>
      <c r="AS432" s="130"/>
      <c r="AT432" s="128"/>
      <c r="AU432" s="129"/>
      <c r="AW432" s="130"/>
      <c r="AX432" s="85"/>
      <c r="AY432" s="84"/>
      <c r="AZ432" s="84"/>
      <c r="BA432" s="131"/>
      <c r="BB432" s="84"/>
      <c r="BE432" s="84"/>
      <c r="BI432" s="86"/>
      <c r="BO432" s="84"/>
      <c r="BT432" s="84"/>
      <c r="BY432" s="84"/>
      <c r="CD432" s="84"/>
      <c r="CI432" s="128"/>
      <c r="CJ432" s="129"/>
      <c r="CL432" s="132"/>
      <c r="CM432" s="128"/>
      <c r="CN432" s="129"/>
      <c r="CP432" s="132"/>
      <c r="CQ432" s="128"/>
      <c r="CR432" s="129"/>
      <c r="CT432" s="132"/>
      <c r="CU432" s="128"/>
      <c r="CV432" s="129"/>
      <c r="CX432" s="132"/>
      <c r="CY432" s="128"/>
      <c r="CZ432" s="129"/>
      <c r="DB432" s="132"/>
      <c r="DC432" s="128"/>
      <c r="DD432" s="129"/>
      <c r="DF432" s="132"/>
      <c r="DG432" s="85"/>
      <c r="DH432" s="85"/>
      <c r="DI432" s="84"/>
      <c r="DK432" s="84"/>
      <c r="DP432" s="84"/>
      <c r="DU432" s="84"/>
      <c r="DY432" s="84"/>
      <c r="EC432" s="84"/>
      <c r="EG432" s="84"/>
      <c r="EK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128"/>
      <c r="AA433" s="129"/>
      <c r="AC433" s="130"/>
      <c r="AD433" s="128"/>
      <c r="AE433" s="129"/>
      <c r="AG433" s="130"/>
      <c r="AH433" s="128"/>
      <c r="AI433" s="129"/>
      <c r="AK433" s="130"/>
      <c r="AL433" s="128"/>
      <c r="AM433" s="129"/>
      <c r="AO433" s="130"/>
      <c r="AP433" s="128"/>
      <c r="AQ433" s="129"/>
      <c r="AS433" s="130"/>
      <c r="AT433" s="128"/>
      <c r="AU433" s="129"/>
      <c r="AW433" s="130"/>
      <c r="AX433" s="85"/>
      <c r="AY433" s="84"/>
      <c r="AZ433" s="84"/>
      <c r="BA433" s="131"/>
      <c r="BB433" s="84"/>
      <c r="BE433" s="84"/>
      <c r="BI433" s="86"/>
      <c r="BO433" s="84"/>
      <c r="BT433" s="84"/>
      <c r="BY433" s="84"/>
      <c r="CD433" s="84"/>
      <c r="CI433" s="128"/>
      <c r="CJ433" s="129"/>
      <c r="CL433" s="132"/>
      <c r="CM433" s="128"/>
      <c r="CN433" s="129"/>
      <c r="CP433" s="132"/>
      <c r="CQ433" s="128"/>
      <c r="CR433" s="129"/>
      <c r="CT433" s="132"/>
      <c r="CU433" s="128"/>
      <c r="CV433" s="129"/>
      <c r="CX433" s="132"/>
      <c r="CY433" s="128"/>
      <c r="CZ433" s="129"/>
      <c r="DB433" s="132"/>
      <c r="DC433" s="128"/>
      <c r="DD433" s="129"/>
      <c r="DF433" s="132"/>
      <c r="DG433" s="85"/>
      <c r="DH433" s="85"/>
      <c r="DI433" s="84"/>
      <c r="DK433" s="84"/>
      <c r="DP433" s="84"/>
      <c r="DU433" s="84"/>
      <c r="DY433" s="84"/>
      <c r="EC433" s="84"/>
      <c r="EG433" s="84"/>
      <c r="EK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128"/>
      <c r="AA434" s="129"/>
      <c r="AC434" s="130"/>
      <c r="AD434" s="128"/>
      <c r="AE434" s="129"/>
      <c r="AG434" s="130"/>
      <c r="AH434" s="128"/>
      <c r="AI434" s="129"/>
      <c r="AK434" s="130"/>
      <c r="AL434" s="128"/>
      <c r="AM434" s="129"/>
      <c r="AO434" s="130"/>
      <c r="AP434" s="128"/>
      <c r="AQ434" s="129"/>
      <c r="AS434" s="130"/>
      <c r="AT434" s="128"/>
      <c r="AU434" s="129"/>
      <c r="AW434" s="130"/>
      <c r="AX434" s="85"/>
      <c r="AY434" s="84"/>
      <c r="AZ434" s="84"/>
      <c r="BA434" s="131"/>
      <c r="BB434" s="84"/>
      <c r="BE434" s="84"/>
      <c r="BI434" s="86"/>
      <c r="BO434" s="84"/>
      <c r="BT434" s="84"/>
      <c r="BY434" s="84"/>
      <c r="CD434" s="84"/>
      <c r="CI434" s="128"/>
      <c r="CJ434" s="129"/>
      <c r="CL434" s="132"/>
      <c r="CM434" s="128"/>
      <c r="CN434" s="129"/>
      <c r="CP434" s="132"/>
      <c r="CQ434" s="128"/>
      <c r="CR434" s="129"/>
      <c r="CT434" s="132"/>
      <c r="CU434" s="128"/>
      <c r="CV434" s="129"/>
      <c r="CX434" s="132"/>
      <c r="CY434" s="128"/>
      <c r="CZ434" s="129"/>
      <c r="DB434" s="132"/>
      <c r="DC434" s="128"/>
      <c r="DD434" s="129"/>
      <c r="DF434" s="132"/>
      <c r="DG434" s="85"/>
      <c r="DH434" s="85"/>
      <c r="DI434" s="84"/>
      <c r="DK434" s="84"/>
      <c r="DP434" s="84"/>
      <c r="DU434" s="84"/>
      <c r="DY434" s="84"/>
      <c r="EC434" s="84"/>
      <c r="EG434" s="84"/>
      <c r="EK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128"/>
      <c r="AA435" s="129"/>
      <c r="AC435" s="130"/>
      <c r="AD435" s="128"/>
      <c r="AE435" s="129"/>
      <c r="AG435" s="130"/>
      <c r="AH435" s="128"/>
      <c r="AI435" s="129"/>
      <c r="AK435" s="130"/>
      <c r="AL435" s="128"/>
      <c r="AM435" s="129"/>
      <c r="AO435" s="130"/>
      <c r="AP435" s="128"/>
      <c r="AQ435" s="129"/>
      <c r="AS435" s="130"/>
      <c r="AT435" s="128"/>
      <c r="AU435" s="129"/>
      <c r="AW435" s="130"/>
      <c r="AX435" s="85"/>
      <c r="AY435" s="84"/>
      <c r="AZ435" s="84"/>
      <c r="BA435" s="131"/>
      <c r="BB435" s="84"/>
      <c r="BE435" s="84"/>
      <c r="BI435" s="86"/>
      <c r="BO435" s="84"/>
      <c r="BT435" s="84"/>
      <c r="BY435" s="84"/>
      <c r="CD435" s="84"/>
      <c r="CI435" s="128"/>
      <c r="CJ435" s="129"/>
      <c r="CL435" s="132"/>
      <c r="CM435" s="128"/>
      <c r="CN435" s="129"/>
      <c r="CP435" s="132"/>
      <c r="CQ435" s="128"/>
      <c r="CR435" s="129"/>
      <c r="CT435" s="132"/>
      <c r="CU435" s="128"/>
      <c r="CV435" s="129"/>
      <c r="CX435" s="132"/>
      <c r="CY435" s="128"/>
      <c r="CZ435" s="129"/>
      <c r="DB435" s="132"/>
      <c r="DC435" s="128"/>
      <c r="DD435" s="129"/>
      <c r="DF435" s="132"/>
      <c r="DG435" s="85"/>
      <c r="DH435" s="85"/>
      <c r="DI435" s="84"/>
      <c r="DK435" s="84"/>
      <c r="DP435" s="84"/>
      <c r="DU435" s="84"/>
      <c r="DY435" s="84"/>
      <c r="EC435" s="84"/>
      <c r="EG435" s="84"/>
      <c r="EK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128"/>
      <c r="AA436" s="129"/>
      <c r="AC436" s="130"/>
      <c r="AD436" s="128"/>
      <c r="AE436" s="129"/>
      <c r="AG436" s="130"/>
      <c r="AH436" s="128"/>
      <c r="AI436" s="129"/>
      <c r="AK436" s="130"/>
      <c r="AL436" s="128"/>
      <c r="AM436" s="129"/>
      <c r="AO436" s="130"/>
      <c r="AP436" s="128"/>
      <c r="AQ436" s="129"/>
      <c r="AS436" s="130"/>
      <c r="AT436" s="128"/>
      <c r="AU436" s="129"/>
      <c r="AW436" s="130"/>
      <c r="AX436" s="85"/>
      <c r="AY436" s="84"/>
      <c r="AZ436" s="84"/>
      <c r="BA436" s="131"/>
      <c r="BB436" s="84"/>
      <c r="BE436" s="84"/>
      <c r="BI436" s="86"/>
      <c r="BO436" s="84"/>
      <c r="BT436" s="84"/>
      <c r="BY436" s="84"/>
      <c r="CD436" s="84"/>
      <c r="CI436" s="128"/>
      <c r="CJ436" s="129"/>
      <c r="CL436" s="132"/>
      <c r="CM436" s="128"/>
      <c r="CN436" s="129"/>
      <c r="CP436" s="132"/>
      <c r="CQ436" s="128"/>
      <c r="CR436" s="129"/>
      <c r="CT436" s="132"/>
      <c r="CU436" s="128"/>
      <c r="CV436" s="129"/>
      <c r="CX436" s="132"/>
      <c r="CY436" s="128"/>
      <c r="CZ436" s="129"/>
      <c r="DB436" s="132"/>
      <c r="DC436" s="128"/>
      <c r="DD436" s="129"/>
      <c r="DF436" s="132"/>
      <c r="DG436" s="85"/>
      <c r="DH436" s="85"/>
      <c r="DI436" s="84"/>
      <c r="DK436" s="84"/>
      <c r="DP436" s="84"/>
      <c r="DU436" s="84"/>
      <c r="DY436" s="84"/>
      <c r="EC436" s="84"/>
      <c r="EG436" s="84"/>
      <c r="EK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128"/>
      <c r="AA437" s="129"/>
      <c r="AC437" s="130"/>
      <c r="AD437" s="128"/>
      <c r="AE437" s="129"/>
      <c r="AG437" s="130"/>
      <c r="AH437" s="128"/>
      <c r="AI437" s="129"/>
      <c r="AK437" s="130"/>
      <c r="AL437" s="128"/>
      <c r="AM437" s="129"/>
      <c r="AO437" s="130"/>
      <c r="AP437" s="128"/>
      <c r="AQ437" s="129"/>
      <c r="AS437" s="130"/>
      <c r="AT437" s="128"/>
      <c r="AU437" s="129"/>
      <c r="AW437" s="130"/>
      <c r="AX437" s="85"/>
      <c r="AY437" s="84"/>
      <c r="AZ437" s="84"/>
      <c r="BA437" s="131"/>
      <c r="BB437" s="84"/>
      <c r="BE437" s="84"/>
      <c r="BI437" s="86"/>
      <c r="BO437" s="84"/>
      <c r="BT437" s="84"/>
      <c r="BY437" s="84"/>
      <c r="CD437" s="84"/>
      <c r="CI437" s="128"/>
      <c r="CJ437" s="129"/>
      <c r="CL437" s="132"/>
      <c r="CM437" s="128"/>
      <c r="CN437" s="129"/>
      <c r="CP437" s="132"/>
      <c r="CQ437" s="128"/>
      <c r="CR437" s="129"/>
      <c r="CT437" s="132"/>
      <c r="CU437" s="128"/>
      <c r="CV437" s="129"/>
      <c r="CX437" s="132"/>
      <c r="CY437" s="128"/>
      <c r="CZ437" s="129"/>
      <c r="DB437" s="132"/>
      <c r="DC437" s="128"/>
      <c r="DD437" s="129"/>
      <c r="DF437" s="132"/>
      <c r="DG437" s="85"/>
      <c r="DH437" s="85"/>
      <c r="DI437" s="84"/>
      <c r="DK437" s="84"/>
      <c r="DP437" s="84"/>
      <c r="DU437" s="84"/>
      <c r="DY437" s="84"/>
      <c r="EC437" s="84"/>
      <c r="EG437" s="84"/>
      <c r="EK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128"/>
      <c r="AA438" s="129"/>
      <c r="AC438" s="130"/>
      <c r="AD438" s="128"/>
      <c r="AE438" s="129"/>
      <c r="AG438" s="130"/>
      <c r="AH438" s="128"/>
      <c r="AI438" s="129"/>
      <c r="AK438" s="130"/>
      <c r="AL438" s="128"/>
      <c r="AM438" s="129"/>
      <c r="AO438" s="130"/>
      <c r="AP438" s="128"/>
      <c r="AQ438" s="129"/>
      <c r="AS438" s="130"/>
      <c r="AT438" s="128"/>
      <c r="AU438" s="129"/>
      <c r="AW438" s="130"/>
      <c r="AX438" s="85"/>
      <c r="AY438" s="84"/>
      <c r="AZ438" s="84"/>
      <c r="BA438" s="131"/>
      <c r="BB438" s="84"/>
      <c r="BE438" s="84"/>
      <c r="BI438" s="86"/>
      <c r="BO438" s="84"/>
      <c r="BT438" s="84"/>
      <c r="BY438" s="84"/>
      <c r="CD438" s="84"/>
      <c r="CI438" s="128"/>
      <c r="CJ438" s="129"/>
      <c r="CL438" s="132"/>
      <c r="CM438" s="128"/>
      <c r="CN438" s="129"/>
      <c r="CP438" s="132"/>
      <c r="CQ438" s="128"/>
      <c r="CR438" s="129"/>
      <c r="CT438" s="132"/>
      <c r="CU438" s="128"/>
      <c r="CV438" s="129"/>
      <c r="CX438" s="132"/>
      <c r="CY438" s="128"/>
      <c r="CZ438" s="129"/>
      <c r="DB438" s="132"/>
      <c r="DC438" s="128"/>
      <c r="DD438" s="129"/>
      <c r="DF438" s="132"/>
      <c r="DG438" s="85"/>
      <c r="DH438" s="85"/>
      <c r="DI438" s="84"/>
      <c r="DK438" s="84"/>
      <c r="DP438" s="84"/>
      <c r="DU438" s="84"/>
      <c r="DY438" s="84"/>
      <c r="EC438" s="84"/>
      <c r="EG438" s="84"/>
      <c r="EK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128"/>
      <c r="AA439" s="129"/>
      <c r="AC439" s="130"/>
      <c r="AD439" s="128"/>
      <c r="AE439" s="129"/>
      <c r="AG439" s="130"/>
      <c r="AH439" s="128"/>
      <c r="AI439" s="129"/>
      <c r="AK439" s="130"/>
      <c r="AL439" s="128"/>
      <c r="AM439" s="129"/>
      <c r="AO439" s="130"/>
      <c r="AP439" s="128"/>
      <c r="AQ439" s="129"/>
      <c r="AS439" s="130"/>
      <c r="AT439" s="128"/>
      <c r="AU439" s="129"/>
      <c r="AW439" s="130"/>
      <c r="AX439" s="85"/>
      <c r="AY439" s="84"/>
      <c r="AZ439" s="84"/>
      <c r="BA439" s="131"/>
      <c r="BB439" s="84"/>
      <c r="BE439" s="84"/>
      <c r="BI439" s="86"/>
      <c r="BO439" s="84"/>
      <c r="BT439" s="84"/>
      <c r="BY439" s="84"/>
      <c r="CD439" s="84"/>
      <c r="CI439" s="128"/>
      <c r="CJ439" s="129"/>
      <c r="CL439" s="132"/>
      <c r="CM439" s="128"/>
      <c r="CN439" s="129"/>
      <c r="CP439" s="132"/>
      <c r="CQ439" s="128"/>
      <c r="CR439" s="129"/>
      <c r="CT439" s="132"/>
      <c r="CU439" s="128"/>
      <c r="CV439" s="129"/>
      <c r="CX439" s="132"/>
      <c r="CY439" s="128"/>
      <c r="CZ439" s="129"/>
      <c r="DB439" s="132"/>
      <c r="DC439" s="128"/>
      <c r="DD439" s="129"/>
      <c r="DF439" s="132"/>
      <c r="DG439" s="85"/>
      <c r="DH439" s="85"/>
      <c r="DI439" s="84"/>
      <c r="DK439" s="84"/>
      <c r="DP439" s="84"/>
      <c r="DU439" s="84"/>
      <c r="DY439" s="84"/>
      <c r="EC439" s="84"/>
      <c r="EG439" s="84"/>
      <c r="EK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128"/>
      <c r="AA440" s="129"/>
      <c r="AC440" s="130"/>
      <c r="AD440" s="128"/>
      <c r="AE440" s="129"/>
      <c r="AG440" s="130"/>
      <c r="AH440" s="128"/>
      <c r="AI440" s="129"/>
      <c r="AK440" s="130"/>
      <c r="AL440" s="128"/>
      <c r="AM440" s="129"/>
      <c r="AO440" s="130"/>
      <c r="AP440" s="128"/>
      <c r="AQ440" s="129"/>
      <c r="AS440" s="130"/>
      <c r="AT440" s="128"/>
      <c r="AU440" s="129"/>
      <c r="AW440" s="130"/>
      <c r="AX440" s="85"/>
      <c r="AY440" s="84"/>
      <c r="AZ440" s="84"/>
      <c r="BA440" s="131"/>
      <c r="BB440" s="84"/>
      <c r="BE440" s="84"/>
      <c r="BI440" s="86"/>
      <c r="BO440" s="84"/>
      <c r="BT440" s="84"/>
      <c r="BY440" s="84"/>
      <c r="CD440" s="84"/>
      <c r="CI440" s="128"/>
      <c r="CJ440" s="129"/>
      <c r="CL440" s="132"/>
      <c r="CM440" s="128"/>
      <c r="CN440" s="129"/>
      <c r="CP440" s="132"/>
      <c r="CQ440" s="128"/>
      <c r="CR440" s="129"/>
      <c r="CT440" s="132"/>
      <c r="CU440" s="128"/>
      <c r="CV440" s="129"/>
      <c r="CX440" s="132"/>
      <c r="CY440" s="128"/>
      <c r="CZ440" s="129"/>
      <c r="DB440" s="132"/>
      <c r="DC440" s="128"/>
      <c r="DD440" s="129"/>
      <c r="DF440" s="132"/>
      <c r="DG440" s="85"/>
      <c r="DH440" s="85"/>
      <c r="DI440" s="84"/>
      <c r="DK440" s="84"/>
      <c r="DP440" s="84"/>
      <c r="DU440" s="84"/>
      <c r="DY440" s="84"/>
      <c r="EC440" s="84"/>
      <c r="EG440" s="84"/>
      <c r="EK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128"/>
      <c r="AA441" s="129"/>
      <c r="AC441" s="130"/>
      <c r="AD441" s="128"/>
      <c r="AE441" s="129"/>
      <c r="AG441" s="130"/>
      <c r="AH441" s="128"/>
      <c r="AI441" s="129"/>
      <c r="AK441" s="130"/>
      <c r="AL441" s="128"/>
      <c r="AM441" s="129"/>
      <c r="AO441" s="130"/>
      <c r="AP441" s="128"/>
      <c r="AQ441" s="129"/>
      <c r="AS441" s="130"/>
      <c r="AT441" s="128"/>
      <c r="AU441" s="129"/>
      <c r="AW441" s="130"/>
      <c r="AX441" s="85"/>
      <c r="AY441" s="84"/>
      <c r="AZ441" s="84"/>
      <c r="BA441" s="131"/>
      <c r="BB441" s="84"/>
      <c r="BE441" s="84"/>
      <c r="BI441" s="86"/>
      <c r="BO441" s="84"/>
      <c r="BT441" s="84"/>
      <c r="BY441" s="84"/>
      <c r="CD441" s="84"/>
      <c r="CI441" s="128"/>
      <c r="CJ441" s="129"/>
      <c r="CL441" s="132"/>
      <c r="CM441" s="128"/>
      <c r="CN441" s="129"/>
      <c r="CP441" s="132"/>
      <c r="CQ441" s="128"/>
      <c r="CR441" s="129"/>
      <c r="CT441" s="132"/>
      <c r="CU441" s="128"/>
      <c r="CV441" s="129"/>
      <c r="CX441" s="132"/>
      <c r="CY441" s="128"/>
      <c r="CZ441" s="129"/>
      <c r="DB441" s="132"/>
      <c r="DC441" s="128"/>
      <c r="DD441" s="129"/>
      <c r="DF441" s="132"/>
      <c r="DG441" s="85"/>
      <c r="DH441" s="85"/>
      <c r="DI441" s="84"/>
      <c r="DK441" s="84"/>
      <c r="DP441" s="84"/>
      <c r="DU441" s="84"/>
      <c r="DY441" s="84"/>
      <c r="EC441" s="84"/>
      <c r="EG441" s="84"/>
      <c r="EK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128"/>
      <c r="AA442" s="129"/>
      <c r="AC442" s="130"/>
      <c r="AD442" s="128"/>
      <c r="AE442" s="129"/>
      <c r="AG442" s="130"/>
      <c r="AH442" s="128"/>
      <c r="AI442" s="129"/>
      <c r="AK442" s="130"/>
      <c r="AL442" s="128"/>
      <c r="AM442" s="129"/>
      <c r="AO442" s="130"/>
      <c r="AP442" s="128"/>
      <c r="AQ442" s="129"/>
      <c r="AS442" s="130"/>
      <c r="AT442" s="128"/>
      <c r="AU442" s="129"/>
      <c r="AW442" s="130"/>
      <c r="AX442" s="85"/>
      <c r="AY442" s="84"/>
      <c r="AZ442" s="84"/>
      <c r="BA442" s="131"/>
      <c r="BB442" s="84"/>
      <c r="BE442" s="84"/>
      <c r="BI442" s="86"/>
      <c r="BO442" s="84"/>
      <c r="BT442" s="84"/>
      <c r="BY442" s="84"/>
      <c r="CD442" s="84"/>
      <c r="CI442" s="128"/>
      <c r="CJ442" s="129"/>
      <c r="CL442" s="132"/>
      <c r="CM442" s="128"/>
      <c r="CN442" s="129"/>
      <c r="CP442" s="132"/>
      <c r="CQ442" s="128"/>
      <c r="CR442" s="129"/>
      <c r="CT442" s="132"/>
      <c r="CU442" s="128"/>
      <c r="CV442" s="129"/>
      <c r="CX442" s="132"/>
      <c r="CY442" s="128"/>
      <c r="CZ442" s="129"/>
      <c r="DB442" s="132"/>
      <c r="DC442" s="128"/>
      <c r="DD442" s="129"/>
      <c r="DF442" s="132"/>
      <c r="DG442" s="85"/>
      <c r="DH442" s="85"/>
      <c r="DI442" s="84"/>
      <c r="DK442" s="84"/>
      <c r="DP442" s="84"/>
      <c r="DU442" s="84"/>
      <c r="DY442" s="84"/>
      <c r="EC442" s="84"/>
      <c r="EG442" s="84"/>
      <c r="EK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128"/>
      <c r="AA443" s="129"/>
      <c r="AC443" s="130"/>
      <c r="AD443" s="128"/>
      <c r="AE443" s="129"/>
      <c r="AG443" s="130"/>
      <c r="AH443" s="128"/>
      <c r="AI443" s="129"/>
      <c r="AK443" s="130"/>
      <c r="AL443" s="128"/>
      <c r="AM443" s="129"/>
      <c r="AO443" s="130"/>
      <c r="AP443" s="128"/>
      <c r="AQ443" s="129"/>
      <c r="AS443" s="130"/>
      <c r="AT443" s="128"/>
      <c r="AU443" s="129"/>
      <c r="AW443" s="130"/>
      <c r="AX443" s="85"/>
      <c r="AY443" s="84"/>
      <c r="AZ443" s="84"/>
      <c r="BA443" s="131"/>
      <c r="BB443" s="84"/>
      <c r="BE443" s="84"/>
      <c r="BI443" s="86"/>
      <c r="BO443" s="84"/>
      <c r="BT443" s="84"/>
      <c r="BY443" s="84"/>
      <c r="CD443" s="84"/>
      <c r="CI443" s="128"/>
      <c r="CJ443" s="129"/>
      <c r="CL443" s="132"/>
      <c r="CM443" s="128"/>
      <c r="CN443" s="129"/>
      <c r="CP443" s="132"/>
      <c r="CQ443" s="128"/>
      <c r="CR443" s="129"/>
      <c r="CT443" s="132"/>
      <c r="CU443" s="128"/>
      <c r="CV443" s="129"/>
      <c r="CX443" s="132"/>
      <c r="CY443" s="128"/>
      <c r="CZ443" s="129"/>
      <c r="DB443" s="132"/>
      <c r="DC443" s="128"/>
      <c r="DD443" s="129"/>
      <c r="DF443" s="132"/>
      <c r="DG443" s="85"/>
      <c r="DH443" s="85"/>
      <c r="DI443" s="84"/>
      <c r="DK443" s="84"/>
      <c r="DP443" s="84"/>
      <c r="DU443" s="84"/>
      <c r="DY443" s="84"/>
      <c r="EC443" s="84"/>
      <c r="EG443" s="84"/>
      <c r="EK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128"/>
      <c r="AA444" s="129"/>
      <c r="AC444" s="130"/>
      <c r="AD444" s="128"/>
      <c r="AE444" s="129"/>
      <c r="AG444" s="130"/>
      <c r="AH444" s="128"/>
      <c r="AI444" s="129"/>
      <c r="AK444" s="130"/>
      <c r="AL444" s="128"/>
      <c r="AM444" s="129"/>
      <c r="AO444" s="130"/>
      <c r="AP444" s="128"/>
      <c r="AQ444" s="129"/>
      <c r="AS444" s="130"/>
      <c r="AT444" s="128"/>
      <c r="AU444" s="129"/>
      <c r="AW444" s="130"/>
      <c r="AX444" s="85"/>
      <c r="AY444" s="84"/>
      <c r="AZ444" s="84"/>
      <c r="BA444" s="131"/>
      <c r="BB444" s="84"/>
      <c r="BE444" s="84"/>
      <c r="BI444" s="86"/>
      <c r="BO444" s="84"/>
      <c r="BT444" s="84"/>
      <c r="BY444" s="84"/>
      <c r="CD444" s="84"/>
      <c r="CI444" s="128"/>
      <c r="CJ444" s="129"/>
      <c r="CL444" s="132"/>
      <c r="CM444" s="128"/>
      <c r="CN444" s="129"/>
      <c r="CP444" s="132"/>
      <c r="CQ444" s="128"/>
      <c r="CR444" s="129"/>
      <c r="CT444" s="132"/>
      <c r="CU444" s="128"/>
      <c r="CV444" s="129"/>
      <c r="CX444" s="132"/>
      <c r="CY444" s="128"/>
      <c r="CZ444" s="129"/>
      <c r="DB444" s="132"/>
      <c r="DC444" s="128"/>
      <c r="DD444" s="129"/>
      <c r="DF444" s="132"/>
      <c r="DG444" s="85"/>
      <c r="DH444" s="85"/>
      <c r="DI444" s="84"/>
      <c r="DK444" s="84"/>
      <c r="DP444" s="84"/>
      <c r="DU444" s="84"/>
      <c r="DY444" s="84"/>
      <c r="EC444" s="84"/>
      <c r="EG444" s="84"/>
      <c r="EK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128"/>
      <c r="AA445" s="129"/>
      <c r="AC445" s="130"/>
      <c r="AD445" s="128"/>
      <c r="AE445" s="129"/>
      <c r="AG445" s="130"/>
      <c r="AH445" s="128"/>
      <c r="AI445" s="129"/>
      <c r="AK445" s="130"/>
      <c r="AL445" s="128"/>
      <c r="AM445" s="129"/>
      <c r="AO445" s="130"/>
      <c r="AP445" s="128"/>
      <c r="AQ445" s="129"/>
      <c r="AS445" s="130"/>
      <c r="AT445" s="128"/>
      <c r="AU445" s="129"/>
      <c r="AW445" s="130"/>
      <c r="AX445" s="85"/>
      <c r="AY445" s="84"/>
      <c r="AZ445" s="84"/>
      <c r="BA445" s="131"/>
      <c r="BB445" s="84"/>
      <c r="BE445" s="84"/>
      <c r="BI445" s="86"/>
      <c r="BO445" s="84"/>
      <c r="BT445" s="84"/>
      <c r="BY445" s="84"/>
      <c r="CD445" s="84"/>
      <c r="CI445" s="128"/>
      <c r="CJ445" s="129"/>
      <c r="CL445" s="132"/>
      <c r="CM445" s="128"/>
      <c r="CN445" s="129"/>
      <c r="CP445" s="132"/>
      <c r="CQ445" s="128"/>
      <c r="CR445" s="129"/>
      <c r="CT445" s="132"/>
      <c r="CU445" s="128"/>
      <c r="CV445" s="129"/>
      <c r="CX445" s="132"/>
      <c r="CY445" s="128"/>
      <c r="CZ445" s="129"/>
      <c r="DB445" s="132"/>
      <c r="DC445" s="128"/>
      <c r="DD445" s="129"/>
      <c r="DF445" s="132"/>
      <c r="DG445" s="85"/>
      <c r="DH445" s="85"/>
      <c r="DI445" s="84"/>
      <c r="DK445" s="84"/>
      <c r="DP445" s="84"/>
      <c r="DU445" s="84"/>
      <c r="DY445" s="84"/>
      <c r="EC445" s="84"/>
      <c r="EG445" s="84"/>
      <c r="EK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128"/>
      <c r="AA446" s="129"/>
      <c r="AC446" s="130"/>
      <c r="AD446" s="128"/>
      <c r="AE446" s="129"/>
      <c r="AG446" s="130"/>
      <c r="AH446" s="128"/>
      <c r="AI446" s="129"/>
      <c r="AK446" s="130"/>
      <c r="AL446" s="128"/>
      <c r="AM446" s="129"/>
      <c r="AO446" s="130"/>
      <c r="AP446" s="128"/>
      <c r="AQ446" s="129"/>
      <c r="AS446" s="130"/>
      <c r="AT446" s="128"/>
      <c r="AU446" s="129"/>
      <c r="AW446" s="130"/>
      <c r="AX446" s="85"/>
      <c r="AY446" s="84"/>
      <c r="AZ446" s="84"/>
      <c r="BA446" s="131"/>
      <c r="BB446" s="84"/>
      <c r="BE446" s="84"/>
      <c r="BI446" s="86"/>
      <c r="BO446" s="84"/>
      <c r="BT446" s="84"/>
      <c r="BY446" s="84"/>
      <c r="CD446" s="84"/>
      <c r="CI446" s="128"/>
      <c r="CJ446" s="129"/>
      <c r="CL446" s="132"/>
      <c r="CM446" s="128"/>
      <c r="CN446" s="129"/>
      <c r="CP446" s="132"/>
      <c r="CQ446" s="128"/>
      <c r="CR446" s="129"/>
      <c r="CT446" s="132"/>
      <c r="CU446" s="128"/>
      <c r="CV446" s="129"/>
      <c r="CX446" s="132"/>
      <c r="CY446" s="128"/>
      <c r="CZ446" s="129"/>
      <c r="DB446" s="132"/>
      <c r="DC446" s="128"/>
      <c r="DD446" s="129"/>
      <c r="DF446" s="132"/>
      <c r="DG446" s="85"/>
      <c r="DH446" s="85"/>
      <c r="DI446" s="84"/>
      <c r="DK446" s="84"/>
      <c r="DP446" s="84"/>
      <c r="DU446" s="84"/>
      <c r="DY446" s="84"/>
      <c r="EC446" s="84"/>
      <c r="EG446" s="84"/>
      <c r="EK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128"/>
      <c r="AA447" s="129"/>
      <c r="AC447" s="130"/>
      <c r="AD447" s="128"/>
      <c r="AE447" s="129"/>
      <c r="AG447" s="130"/>
      <c r="AH447" s="128"/>
      <c r="AI447" s="129"/>
      <c r="AK447" s="130"/>
      <c r="AL447" s="128"/>
      <c r="AM447" s="129"/>
      <c r="AO447" s="130"/>
      <c r="AP447" s="128"/>
      <c r="AQ447" s="129"/>
      <c r="AS447" s="130"/>
      <c r="AT447" s="128"/>
      <c r="AU447" s="129"/>
      <c r="AW447" s="130"/>
      <c r="AX447" s="85"/>
      <c r="AY447" s="84"/>
      <c r="AZ447" s="84"/>
      <c r="BA447" s="131"/>
      <c r="BB447" s="84"/>
      <c r="BE447" s="84"/>
      <c r="BI447" s="86"/>
      <c r="BO447" s="84"/>
      <c r="BT447" s="84"/>
      <c r="BY447" s="84"/>
      <c r="CD447" s="84"/>
      <c r="CI447" s="128"/>
      <c r="CJ447" s="129"/>
      <c r="CL447" s="132"/>
      <c r="CM447" s="128"/>
      <c r="CN447" s="129"/>
      <c r="CP447" s="132"/>
      <c r="CQ447" s="128"/>
      <c r="CR447" s="129"/>
      <c r="CT447" s="132"/>
      <c r="CU447" s="128"/>
      <c r="CV447" s="129"/>
      <c r="CX447" s="132"/>
      <c r="CY447" s="128"/>
      <c r="CZ447" s="129"/>
      <c r="DB447" s="132"/>
      <c r="DC447" s="128"/>
      <c r="DD447" s="129"/>
      <c r="DF447" s="132"/>
      <c r="DG447" s="85"/>
      <c r="DH447" s="85"/>
      <c r="DI447" s="84"/>
      <c r="DK447" s="84"/>
      <c r="DP447" s="84"/>
      <c r="DU447" s="84"/>
      <c r="DY447" s="84"/>
      <c r="EC447" s="84"/>
      <c r="EG447" s="84"/>
      <c r="EK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128"/>
      <c r="AA448" s="129"/>
      <c r="AC448" s="130"/>
      <c r="AD448" s="128"/>
      <c r="AE448" s="129"/>
      <c r="AG448" s="130"/>
      <c r="AH448" s="128"/>
      <c r="AI448" s="129"/>
      <c r="AK448" s="130"/>
      <c r="AL448" s="128"/>
      <c r="AM448" s="129"/>
      <c r="AO448" s="130"/>
      <c r="AP448" s="128"/>
      <c r="AQ448" s="129"/>
      <c r="AS448" s="130"/>
      <c r="AT448" s="128"/>
      <c r="AU448" s="129"/>
      <c r="AW448" s="130"/>
      <c r="AX448" s="85"/>
      <c r="AY448" s="84"/>
      <c r="AZ448" s="84"/>
      <c r="BA448" s="131"/>
      <c r="BB448" s="84"/>
      <c r="BE448" s="84"/>
      <c r="BI448" s="86"/>
      <c r="BO448" s="84"/>
      <c r="BT448" s="84"/>
      <c r="BY448" s="84"/>
      <c r="CD448" s="84"/>
      <c r="CI448" s="128"/>
      <c r="CJ448" s="129"/>
      <c r="CL448" s="132"/>
      <c r="CM448" s="128"/>
      <c r="CN448" s="129"/>
      <c r="CP448" s="132"/>
      <c r="CQ448" s="128"/>
      <c r="CR448" s="129"/>
      <c r="CT448" s="132"/>
      <c r="CU448" s="128"/>
      <c r="CV448" s="129"/>
      <c r="CX448" s="132"/>
      <c r="CY448" s="128"/>
      <c r="CZ448" s="129"/>
      <c r="DB448" s="132"/>
      <c r="DC448" s="128"/>
      <c r="DD448" s="129"/>
      <c r="DF448" s="132"/>
      <c r="DG448" s="85"/>
      <c r="DH448" s="85"/>
      <c r="DI448" s="84"/>
      <c r="DK448" s="84"/>
      <c r="DP448" s="84"/>
      <c r="DU448" s="84"/>
      <c r="DY448" s="84"/>
      <c r="EC448" s="84"/>
      <c r="EG448" s="84"/>
      <c r="EK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128"/>
      <c r="AA449" s="129"/>
      <c r="AC449" s="130"/>
      <c r="AD449" s="128"/>
      <c r="AE449" s="129"/>
      <c r="AG449" s="130"/>
      <c r="AH449" s="128"/>
      <c r="AI449" s="129"/>
      <c r="AK449" s="130"/>
      <c r="AL449" s="128"/>
      <c r="AM449" s="129"/>
      <c r="AO449" s="130"/>
      <c r="AP449" s="128"/>
      <c r="AQ449" s="129"/>
      <c r="AS449" s="130"/>
      <c r="AT449" s="128"/>
      <c r="AU449" s="129"/>
      <c r="AW449" s="130"/>
      <c r="AX449" s="85"/>
      <c r="AY449" s="84"/>
      <c r="AZ449" s="84"/>
      <c r="BA449" s="131"/>
      <c r="BB449" s="84"/>
      <c r="BE449" s="84"/>
      <c r="BI449" s="86"/>
      <c r="BO449" s="84"/>
      <c r="BT449" s="84"/>
      <c r="BY449" s="84"/>
      <c r="CD449" s="84"/>
      <c r="CI449" s="128"/>
      <c r="CJ449" s="129"/>
      <c r="CL449" s="132"/>
      <c r="CM449" s="128"/>
      <c r="CN449" s="129"/>
      <c r="CP449" s="132"/>
      <c r="CQ449" s="128"/>
      <c r="CR449" s="129"/>
      <c r="CT449" s="132"/>
      <c r="CU449" s="128"/>
      <c r="CV449" s="129"/>
      <c r="CX449" s="132"/>
      <c r="CY449" s="128"/>
      <c r="CZ449" s="129"/>
      <c r="DB449" s="132"/>
      <c r="DC449" s="128"/>
      <c r="DD449" s="129"/>
      <c r="DF449" s="132"/>
      <c r="DG449" s="85"/>
      <c r="DH449" s="85"/>
      <c r="DI449" s="84"/>
      <c r="DK449" s="84"/>
      <c r="DP449" s="84"/>
      <c r="DU449" s="84"/>
      <c r="DY449" s="84"/>
      <c r="EC449" s="84"/>
      <c r="EG449" s="84"/>
      <c r="EK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128"/>
      <c r="AA450" s="129"/>
      <c r="AC450" s="130"/>
      <c r="AD450" s="128"/>
      <c r="AE450" s="129"/>
      <c r="AG450" s="130"/>
      <c r="AH450" s="128"/>
      <c r="AI450" s="129"/>
      <c r="AK450" s="130"/>
      <c r="AL450" s="128"/>
      <c r="AM450" s="129"/>
      <c r="AO450" s="130"/>
      <c r="AP450" s="128"/>
      <c r="AQ450" s="129"/>
      <c r="AS450" s="130"/>
      <c r="AT450" s="128"/>
      <c r="AU450" s="129"/>
      <c r="AW450" s="130"/>
      <c r="AX450" s="85"/>
      <c r="AY450" s="84"/>
      <c r="AZ450" s="84"/>
      <c r="BA450" s="131"/>
      <c r="BB450" s="84"/>
      <c r="BE450" s="84"/>
      <c r="BI450" s="86"/>
      <c r="BO450" s="84"/>
      <c r="BT450" s="84"/>
      <c r="BY450" s="84"/>
      <c r="CD450" s="84"/>
      <c r="CI450" s="128"/>
      <c r="CJ450" s="129"/>
      <c r="CL450" s="132"/>
      <c r="CM450" s="128"/>
      <c r="CN450" s="129"/>
      <c r="CP450" s="132"/>
      <c r="CQ450" s="128"/>
      <c r="CR450" s="129"/>
      <c r="CT450" s="132"/>
      <c r="CU450" s="128"/>
      <c r="CV450" s="129"/>
      <c r="CX450" s="132"/>
      <c r="CY450" s="128"/>
      <c r="CZ450" s="129"/>
      <c r="DB450" s="132"/>
      <c r="DC450" s="128"/>
      <c r="DD450" s="129"/>
      <c r="DF450" s="132"/>
      <c r="DG450" s="85"/>
      <c r="DH450" s="85"/>
      <c r="DI450" s="84"/>
      <c r="DK450" s="84"/>
      <c r="DP450" s="84"/>
      <c r="DU450" s="84"/>
      <c r="DY450" s="84"/>
      <c r="EC450" s="84"/>
      <c r="EG450" s="84"/>
      <c r="EK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128"/>
      <c r="AA451" s="129"/>
      <c r="AC451" s="130"/>
      <c r="AD451" s="128"/>
      <c r="AE451" s="129"/>
      <c r="AG451" s="130"/>
      <c r="AH451" s="128"/>
      <c r="AI451" s="129"/>
      <c r="AK451" s="130"/>
      <c r="AL451" s="128"/>
      <c r="AM451" s="129"/>
      <c r="AO451" s="130"/>
      <c r="AP451" s="128"/>
      <c r="AQ451" s="129"/>
      <c r="AS451" s="130"/>
      <c r="AT451" s="128"/>
      <c r="AU451" s="129"/>
      <c r="AW451" s="130"/>
      <c r="AX451" s="85"/>
      <c r="AY451" s="84"/>
      <c r="AZ451" s="84"/>
      <c r="BA451" s="131"/>
      <c r="BB451" s="84"/>
      <c r="BE451" s="84"/>
      <c r="BI451" s="86"/>
      <c r="BO451" s="84"/>
      <c r="BT451" s="84"/>
      <c r="BY451" s="84"/>
      <c r="CD451" s="84"/>
      <c r="CI451" s="128"/>
      <c r="CJ451" s="129"/>
      <c r="CL451" s="132"/>
      <c r="CM451" s="128"/>
      <c r="CN451" s="129"/>
      <c r="CP451" s="132"/>
      <c r="CQ451" s="128"/>
      <c r="CR451" s="129"/>
      <c r="CT451" s="132"/>
      <c r="CU451" s="128"/>
      <c r="CV451" s="129"/>
      <c r="CX451" s="132"/>
      <c r="CY451" s="128"/>
      <c r="CZ451" s="129"/>
      <c r="DB451" s="132"/>
      <c r="DC451" s="128"/>
      <c r="DD451" s="129"/>
      <c r="DF451" s="132"/>
      <c r="DG451" s="85"/>
      <c r="DH451" s="85"/>
      <c r="DI451" s="84"/>
      <c r="DK451" s="84"/>
      <c r="DP451" s="84"/>
      <c r="DU451" s="84"/>
      <c r="DY451" s="84"/>
      <c r="EC451" s="84"/>
      <c r="EG451" s="84"/>
      <c r="EK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128"/>
      <c r="AA452" s="129"/>
      <c r="AC452" s="130"/>
      <c r="AD452" s="128"/>
      <c r="AE452" s="129"/>
      <c r="AG452" s="130"/>
      <c r="AH452" s="128"/>
      <c r="AI452" s="129"/>
      <c r="AK452" s="130"/>
      <c r="AL452" s="128"/>
      <c r="AM452" s="129"/>
      <c r="AO452" s="130"/>
      <c r="AP452" s="128"/>
      <c r="AQ452" s="129"/>
      <c r="AS452" s="130"/>
      <c r="AT452" s="128"/>
      <c r="AU452" s="129"/>
      <c r="AW452" s="130"/>
      <c r="AX452" s="85"/>
      <c r="AY452" s="84"/>
      <c r="AZ452" s="84"/>
      <c r="BA452" s="131"/>
      <c r="BB452" s="84"/>
      <c r="BE452" s="84"/>
      <c r="BI452" s="86"/>
      <c r="BO452" s="84"/>
      <c r="BT452" s="84"/>
      <c r="BY452" s="84"/>
      <c r="CD452" s="84"/>
      <c r="CI452" s="128"/>
      <c r="CJ452" s="129"/>
      <c r="CL452" s="132"/>
      <c r="CM452" s="128"/>
      <c r="CN452" s="129"/>
      <c r="CP452" s="132"/>
      <c r="CQ452" s="128"/>
      <c r="CR452" s="129"/>
      <c r="CT452" s="132"/>
      <c r="CU452" s="128"/>
      <c r="CV452" s="129"/>
      <c r="CX452" s="132"/>
      <c r="CY452" s="128"/>
      <c r="CZ452" s="129"/>
      <c r="DB452" s="132"/>
      <c r="DC452" s="128"/>
      <c r="DD452" s="129"/>
      <c r="DF452" s="132"/>
      <c r="DG452" s="85"/>
      <c r="DH452" s="85"/>
      <c r="DI452" s="84"/>
      <c r="DK452" s="84"/>
      <c r="DP452" s="84"/>
      <c r="DU452" s="84"/>
      <c r="DY452" s="84"/>
      <c r="EC452" s="84"/>
      <c r="EG452" s="84"/>
      <c r="EK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128"/>
      <c r="AA453" s="129"/>
      <c r="AC453" s="130"/>
      <c r="AD453" s="128"/>
      <c r="AE453" s="129"/>
      <c r="AG453" s="130"/>
      <c r="AH453" s="128"/>
      <c r="AI453" s="129"/>
      <c r="AK453" s="130"/>
      <c r="AL453" s="128"/>
      <c r="AM453" s="129"/>
      <c r="AO453" s="130"/>
      <c r="AP453" s="128"/>
      <c r="AQ453" s="129"/>
      <c r="AS453" s="130"/>
      <c r="AT453" s="128"/>
      <c r="AU453" s="129"/>
      <c r="AW453" s="130"/>
      <c r="AX453" s="85"/>
      <c r="AY453" s="84"/>
      <c r="AZ453" s="84"/>
      <c r="BA453" s="131"/>
      <c r="BB453" s="84"/>
      <c r="BE453" s="84"/>
      <c r="BI453" s="86"/>
      <c r="BO453" s="84"/>
      <c r="BT453" s="84"/>
      <c r="BY453" s="84"/>
      <c r="CD453" s="84"/>
      <c r="CI453" s="128"/>
      <c r="CJ453" s="129"/>
      <c r="CL453" s="132"/>
      <c r="CM453" s="128"/>
      <c r="CN453" s="129"/>
      <c r="CP453" s="132"/>
      <c r="CQ453" s="128"/>
      <c r="CR453" s="129"/>
      <c r="CT453" s="132"/>
      <c r="CU453" s="128"/>
      <c r="CV453" s="129"/>
      <c r="CX453" s="132"/>
      <c r="CY453" s="128"/>
      <c r="CZ453" s="129"/>
      <c r="DB453" s="132"/>
      <c r="DC453" s="128"/>
      <c r="DD453" s="129"/>
      <c r="DF453" s="132"/>
      <c r="DG453" s="85"/>
      <c r="DH453" s="85"/>
      <c r="DI453" s="84"/>
      <c r="DK453" s="84"/>
      <c r="DP453" s="84"/>
      <c r="DU453" s="84"/>
      <c r="DY453" s="84"/>
      <c r="EC453" s="84"/>
      <c r="EG453" s="84"/>
      <c r="EK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128"/>
      <c r="AA454" s="129"/>
      <c r="AC454" s="130"/>
      <c r="AD454" s="128"/>
      <c r="AE454" s="129"/>
      <c r="AG454" s="130"/>
      <c r="AH454" s="128"/>
      <c r="AI454" s="129"/>
      <c r="AK454" s="130"/>
      <c r="AL454" s="128"/>
      <c r="AM454" s="129"/>
      <c r="AO454" s="130"/>
      <c r="AP454" s="128"/>
      <c r="AQ454" s="129"/>
      <c r="AS454" s="130"/>
      <c r="AT454" s="128"/>
      <c r="AU454" s="129"/>
      <c r="AW454" s="130"/>
      <c r="AX454" s="85"/>
      <c r="AY454" s="84"/>
      <c r="AZ454" s="84"/>
      <c r="BA454" s="131"/>
      <c r="BB454" s="84"/>
      <c r="BE454" s="84"/>
      <c r="BI454" s="86"/>
      <c r="BO454" s="84"/>
      <c r="BT454" s="84"/>
      <c r="BY454" s="84"/>
      <c r="CD454" s="84"/>
      <c r="CI454" s="128"/>
      <c r="CJ454" s="129"/>
      <c r="CL454" s="132"/>
      <c r="CM454" s="128"/>
      <c r="CN454" s="129"/>
      <c r="CP454" s="132"/>
      <c r="CQ454" s="128"/>
      <c r="CR454" s="129"/>
      <c r="CT454" s="132"/>
      <c r="CU454" s="128"/>
      <c r="CV454" s="129"/>
      <c r="CX454" s="132"/>
      <c r="CY454" s="128"/>
      <c r="CZ454" s="129"/>
      <c r="DB454" s="132"/>
      <c r="DC454" s="128"/>
      <c r="DD454" s="129"/>
      <c r="DF454" s="132"/>
      <c r="DG454" s="85"/>
      <c r="DH454" s="85"/>
      <c r="DI454" s="84"/>
      <c r="DK454" s="84"/>
      <c r="DP454" s="84"/>
      <c r="DU454" s="84"/>
      <c r="DY454" s="84"/>
      <c r="EC454" s="84"/>
      <c r="EG454" s="84"/>
      <c r="EK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128"/>
      <c r="AA455" s="129"/>
      <c r="AC455" s="130"/>
      <c r="AD455" s="128"/>
      <c r="AE455" s="129"/>
      <c r="AG455" s="130"/>
      <c r="AH455" s="128"/>
      <c r="AI455" s="129"/>
      <c r="AK455" s="130"/>
      <c r="AL455" s="128"/>
      <c r="AM455" s="129"/>
      <c r="AO455" s="130"/>
      <c r="AP455" s="128"/>
      <c r="AQ455" s="129"/>
      <c r="AS455" s="130"/>
      <c r="AT455" s="128"/>
      <c r="AU455" s="129"/>
      <c r="AW455" s="130"/>
      <c r="AX455" s="85"/>
      <c r="AY455" s="84"/>
      <c r="AZ455" s="84"/>
      <c r="BA455" s="131"/>
      <c r="BB455" s="84"/>
      <c r="BE455" s="84"/>
      <c r="BI455" s="86"/>
      <c r="BO455" s="84"/>
      <c r="BT455" s="84"/>
      <c r="BY455" s="84"/>
      <c r="CD455" s="84"/>
      <c r="CI455" s="128"/>
      <c r="CJ455" s="129"/>
      <c r="CL455" s="132"/>
      <c r="CM455" s="128"/>
      <c r="CN455" s="129"/>
      <c r="CP455" s="132"/>
      <c r="CQ455" s="128"/>
      <c r="CR455" s="129"/>
      <c r="CT455" s="132"/>
      <c r="CU455" s="128"/>
      <c r="CV455" s="129"/>
      <c r="CX455" s="132"/>
      <c r="CY455" s="128"/>
      <c r="CZ455" s="129"/>
      <c r="DB455" s="132"/>
      <c r="DC455" s="128"/>
      <c r="DD455" s="129"/>
      <c r="DF455" s="132"/>
      <c r="DG455" s="85"/>
      <c r="DH455" s="85"/>
      <c r="DI455" s="84"/>
      <c r="DK455" s="84"/>
      <c r="DP455" s="84"/>
      <c r="DU455" s="84"/>
      <c r="DY455" s="84"/>
      <c r="EC455" s="84"/>
      <c r="EG455" s="84"/>
      <c r="EK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128"/>
      <c r="AA456" s="129"/>
      <c r="AC456" s="130"/>
      <c r="AD456" s="128"/>
      <c r="AE456" s="129"/>
      <c r="AG456" s="130"/>
      <c r="AH456" s="128"/>
      <c r="AI456" s="129"/>
      <c r="AK456" s="130"/>
      <c r="AL456" s="128"/>
      <c r="AM456" s="129"/>
      <c r="AO456" s="130"/>
      <c r="AP456" s="128"/>
      <c r="AQ456" s="129"/>
      <c r="AS456" s="130"/>
      <c r="AT456" s="128"/>
      <c r="AU456" s="129"/>
      <c r="AW456" s="130"/>
      <c r="AX456" s="85"/>
      <c r="AY456" s="84"/>
      <c r="AZ456" s="84"/>
      <c r="BA456" s="131"/>
      <c r="BB456" s="84"/>
      <c r="BE456" s="84"/>
      <c r="BI456" s="86"/>
      <c r="BO456" s="84"/>
      <c r="BT456" s="84"/>
      <c r="BY456" s="84"/>
      <c r="CD456" s="84"/>
      <c r="CI456" s="128"/>
      <c r="CJ456" s="129"/>
      <c r="CL456" s="132"/>
      <c r="CM456" s="128"/>
      <c r="CN456" s="129"/>
      <c r="CP456" s="132"/>
      <c r="CQ456" s="128"/>
      <c r="CR456" s="129"/>
      <c r="CT456" s="132"/>
      <c r="CU456" s="128"/>
      <c r="CV456" s="129"/>
      <c r="CX456" s="132"/>
      <c r="CY456" s="128"/>
      <c r="CZ456" s="129"/>
      <c r="DB456" s="132"/>
      <c r="DC456" s="128"/>
      <c r="DD456" s="129"/>
      <c r="DF456" s="132"/>
      <c r="DG456" s="85"/>
      <c r="DH456" s="85"/>
      <c r="DI456" s="84"/>
      <c r="DK456" s="84"/>
      <c r="DP456" s="84"/>
      <c r="DU456" s="84"/>
      <c r="DY456" s="84"/>
      <c r="EC456" s="84"/>
      <c r="EG456" s="84"/>
      <c r="EK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128"/>
      <c r="AA457" s="129"/>
      <c r="AC457" s="130"/>
      <c r="AD457" s="128"/>
      <c r="AE457" s="129"/>
      <c r="AG457" s="130"/>
      <c r="AH457" s="128"/>
      <c r="AI457" s="129"/>
      <c r="AK457" s="130"/>
      <c r="AL457" s="128"/>
      <c r="AM457" s="129"/>
      <c r="AO457" s="130"/>
      <c r="AP457" s="128"/>
      <c r="AQ457" s="129"/>
      <c r="AS457" s="130"/>
      <c r="AT457" s="128"/>
      <c r="AU457" s="129"/>
      <c r="AW457" s="130"/>
      <c r="AX457" s="85"/>
      <c r="AY457" s="84"/>
      <c r="AZ457" s="84"/>
      <c r="BA457" s="131"/>
      <c r="BB457" s="84"/>
      <c r="BE457" s="84"/>
      <c r="BI457" s="86"/>
      <c r="BO457" s="84"/>
      <c r="BT457" s="84"/>
      <c r="BY457" s="84"/>
      <c r="CD457" s="84"/>
      <c r="CI457" s="128"/>
      <c r="CJ457" s="129"/>
      <c r="CL457" s="132"/>
      <c r="CM457" s="128"/>
      <c r="CN457" s="129"/>
      <c r="CP457" s="132"/>
      <c r="CQ457" s="128"/>
      <c r="CR457" s="129"/>
      <c r="CT457" s="132"/>
      <c r="CU457" s="128"/>
      <c r="CV457" s="129"/>
      <c r="CX457" s="132"/>
      <c r="CY457" s="128"/>
      <c r="CZ457" s="129"/>
      <c r="DB457" s="132"/>
      <c r="DC457" s="128"/>
      <c r="DD457" s="129"/>
      <c r="DF457" s="132"/>
      <c r="DG457" s="85"/>
      <c r="DH457" s="85"/>
      <c r="DI457" s="84"/>
      <c r="DK457" s="84"/>
      <c r="DP457" s="84"/>
      <c r="DU457" s="84"/>
      <c r="DY457" s="84"/>
      <c r="EC457" s="84"/>
      <c r="EG457" s="84"/>
      <c r="EK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128"/>
      <c r="AA458" s="129"/>
      <c r="AC458" s="130"/>
      <c r="AD458" s="128"/>
      <c r="AE458" s="129"/>
      <c r="AG458" s="130"/>
      <c r="AH458" s="128"/>
      <c r="AI458" s="129"/>
      <c r="AK458" s="130"/>
      <c r="AL458" s="128"/>
      <c r="AM458" s="129"/>
      <c r="AO458" s="130"/>
      <c r="AP458" s="128"/>
      <c r="AQ458" s="129"/>
      <c r="AS458" s="130"/>
      <c r="AT458" s="128"/>
      <c r="AU458" s="129"/>
      <c r="AW458" s="130"/>
      <c r="AX458" s="85"/>
      <c r="AY458" s="84"/>
      <c r="AZ458" s="84"/>
      <c r="BA458" s="131"/>
      <c r="BB458" s="84"/>
      <c r="BE458" s="84"/>
      <c r="BI458" s="86"/>
      <c r="BO458" s="84"/>
      <c r="BT458" s="84"/>
      <c r="BY458" s="84"/>
      <c r="CD458" s="84"/>
      <c r="CI458" s="128"/>
      <c r="CJ458" s="129"/>
      <c r="CL458" s="132"/>
      <c r="CM458" s="128"/>
      <c r="CN458" s="129"/>
      <c r="CP458" s="132"/>
      <c r="CQ458" s="128"/>
      <c r="CR458" s="129"/>
      <c r="CT458" s="132"/>
      <c r="CU458" s="128"/>
      <c r="CV458" s="129"/>
      <c r="CX458" s="132"/>
      <c r="CY458" s="128"/>
      <c r="CZ458" s="129"/>
      <c r="DB458" s="132"/>
      <c r="DC458" s="128"/>
      <c r="DD458" s="129"/>
      <c r="DF458" s="132"/>
      <c r="DG458" s="85"/>
      <c r="DH458" s="85"/>
      <c r="DI458" s="84"/>
      <c r="DK458" s="84"/>
      <c r="DP458" s="84"/>
      <c r="DU458" s="84"/>
      <c r="DY458" s="84"/>
      <c r="EC458" s="84"/>
      <c r="EG458" s="84"/>
      <c r="EK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128"/>
      <c r="AA459" s="129"/>
      <c r="AC459" s="130"/>
      <c r="AD459" s="128"/>
      <c r="AE459" s="129"/>
      <c r="AG459" s="130"/>
      <c r="AH459" s="128"/>
      <c r="AI459" s="129"/>
      <c r="AK459" s="130"/>
      <c r="AL459" s="128"/>
      <c r="AM459" s="129"/>
      <c r="AO459" s="130"/>
      <c r="AP459" s="128"/>
      <c r="AQ459" s="129"/>
      <c r="AS459" s="130"/>
      <c r="AT459" s="128"/>
      <c r="AU459" s="129"/>
      <c r="AW459" s="130"/>
      <c r="AX459" s="85"/>
      <c r="AY459" s="84"/>
      <c r="AZ459" s="84"/>
      <c r="BA459" s="131"/>
      <c r="BB459" s="84"/>
      <c r="BE459" s="84"/>
      <c r="BI459" s="86"/>
      <c r="BO459" s="84"/>
      <c r="BT459" s="84"/>
      <c r="BY459" s="84"/>
      <c r="CD459" s="84"/>
      <c r="CI459" s="128"/>
      <c r="CJ459" s="129"/>
      <c r="CL459" s="132"/>
      <c r="CM459" s="128"/>
      <c r="CN459" s="129"/>
      <c r="CP459" s="132"/>
      <c r="CQ459" s="128"/>
      <c r="CR459" s="129"/>
      <c r="CT459" s="132"/>
      <c r="CU459" s="128"/>
      <c r="CV459" s="129"/>
      <c r="CX459" s="132"/>
      <c r="CY459" s="128"/>
      <c r="CZ459" s="129"/>
      <c r="DB459" s="132"/>
      <c r="DC459" s="128"/>
      <c r="DD459" s="129"/>
      <c r="DF459" s="132"/>
      <c r="DG459" s="85"/>
      <c r="DH459" s="85"/>
      <c r="DI459" s="84"/>
      <c r="DK459" s="84"/>
      <c r="DP459" s="84"/>
      <c r="DU459" s="84"/>
      <c r="DY459" s="84"/>
      <c r="EC459" s="84"/>
      <c r="EG459" s="84"/>
      <c r="EK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128"/>
      <c r="AA460" s="129"/>
      <c r="AC460" s="130"/>
      <c r="AD460" s="128"/>
      <c r="AE460" s="129"/>
      <c r="AG460" s="130"/>
      <c r="AH460" s="128"/>
      <c r="AI460" s="129"/>
      <c r="AK460" s="130"/>
      <c r="AL460" s="128"/>
      <c r="AM460" s="129"/>
      <c r="AO460" s="130"/>
      <c r="AP460" s="128"/>
      <c r="AQ460" s="129"/>
      <c r="AS460" s="130"/>
      <c r="AT460" s="128"/>
      <c r="AU460" s="129"/>
      <c r="AW460" s="130"/>
      <c r="AX460" s="85"/>
      <c r="AY460" s="84"/>
      <c r="AZ460" s="84"/>
      <c r="BA460" s="131"/>
      <c r="BB460" s="84"/>
      <c r="BE460" s="84"/>
      <c r="BI460" s="86"/>
      <c r="BO460" s="84"/>
      <c r="BT460" s="84"/>
      <c r="BY460" s="84"/>
      <c r="CD460" s="84"/>
      <c r="CI460" s="128"/>
      <c r="CJ460" s="129"/>
      <c r="CL460" s="132"/>
      <c r="CM460" s="128"/>
      <c r="CN460" s="129"/>
      <c r="CP460" s="132"/>
      <c r="CQ460" s="128"/>
      <c r="CR460" s="129"/>
      <c r="CT460" s="132"/>
      <c r="CU460" s="128"/>
      <c r="CV460" s="129"/>
      <c r="CX460" s="132"/>
      <c r="CY460" s="128"/>
      <c r="CZ460" s="129"/>
      <c r="DB460" s="132"/>
      <c r="DC460" s="128"/>
      <c r="DD460" s="129"/>
      <c r="DF460" s="132"/>
      <c r="DG460" s="85"/>
      <c r="DH460" s="85"/>
      <c r="DI460" s="84"/>
      <c r="DK460" s="84"/>
      <c r="DP460" s="84"/>
      <c r="DU460" s="84"/>
      <c r="DY460" s="84"/>
      <c r="EC460" s="84"/>
      <c r="EG460" s="84"/>
      <c r="EK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128"/>
      <c r="AA461" s="129"/>
      <c r="AC461" s="130"/>
      <c r="AD461" s="128"/>
      <c r="AE461" s="129"/>
      <c r="AG461" s="130"/>
      <c r="AH461" s="128"/>
      <c r="AI461" s="129"/>
      <c r="AK461" s="130"/>
      <c r="AL461" s="128"/>
      <c r="AM461" s="129"/>
      <c r="AO461" s="130"/>
      <c r="AP461" s="128"/>
      <c r="AQ461" s="129"/>
      <c r="AS461" s="130"/>
      <c r="AT461" s="128"/>
      <c r="AU461" s="129"/>
      <c r="AW461" s="130"/>
      <c r="AX461" s="85"/>
      <c r="AY461" s="84"/>
      <c r="AZ461" s="84"/>
      <c r="BA461" s="131"/>
      <c r="BB461" s="84"/>
      <c r="BE461" s="84"/>
      <c r="BI461" s="86"/>
      <c r="BO461" s="84"/>
      <c r="BT461" s="84"/>
      <c r="BY461" s="84"/>
      <c r="CD461" s="84"/>
      <c r="CI461" s="128"/>
      <c r="CJ461" s="129"/>
      <c r="CL461" s="132"/>
      <c r="CM461" s="128"/>
      <c r="CN461" s="129"/>
      <c r="CP461" s="132"/>
      <c r="CQ461" s="128"/>
      <c r="CR461" s="129"/>
      <c r="CT461" s="132"/>
      <c r="CU461" s="128"/>
      <c r="CV461" s="129"/>
      <c r="CX461" s="132"/>
      <c r="CY461" s="128"/>
      <c r="CZ461" s="129"/>
      <c r="DB461" s="132"/>
      <c r="DC461" s="128"/>
      <c r="DD461" s="129"/>
      <c r="DF461" s="132"/>
      <c r="DG461" s="85"/>
      <c r="DH461" s="85"/>
      <c r="DI461" s="84"/>
      <c r="DK461" s="84"/>
      <c r="DP461" s="84"/>
      <c r="DU461" s="84"/>
      <c r="DY461" s="84"/>
      <c r="EC461" s="84"/>
      <c r="EG461" s="84"/>
      <c r="EK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128"/>
      <c r="AA462" s="129"/>
      <c r="AC462" s="130"/>
      <c r="AD462" s="128"/>
      <c r="AE462" s="129"/>
      <c r="AG462" s="130"/>
      <c r="AH462" s="128"/>
      <c r="AI462" s="129"/>
      <c r="AK462" s="130"/>
      <c r="AL462" s="128"/>
      <c r="AM462" s="129"/>
      <c r="AO462" s="130"/>
      <c r="AP462" s="128"/>
      <c r="AQ462" s="129"/>
      <c r="AS462" s="130"/>
      <c r="AT462" s="128"/>
      <c r="AU462" s="129"/>
      <c r="AW462" s="130"/>
      <c r="AX462" s="85"/>
      <c r="AY462" s="84"/>
      <c r="AZ462" s="84"/>
      <c r="BA462" s="131"/>
      <c r="BB462" s="84"/>
      <c r="BE462" s="84"/>
      <c r="BI462" s="86"/>
      <c r="BO462" s="84"/>
      <c r="BT462" s="84"/>
      <c r="BY462" s="84"/>
      <c r="CD462" s="84"/>
      <c r="CI462" s="128"/>
      <c r="CJ462" s="129"/>
      <c r="CL462" s="132"/>
      <c r="CM462" s="128"/>
      <c r="CN462" s="129"/>
      <c r="CP462" s="132"/>
      <c r="CQ462" s="128"/>
      <c r="CR462" s="129"/>
      <c r="CT462" s="132"/>
      <c r="CU462" s="128"/>
      <c r="CV462" s="129"/>
      <c r="CX462" s="132"/>
      <c r="CY462" s="128"/>
      <c r="CZ462" s="129"/>
      <c r="DB462" s="132"/>
      <c r="DC462" s="128"/>
      <c r="DD462" s="129"/>
      <c r="DF462" s="132"/>
      <c r="DG462" s="85"/>
      <c r="DH462" s="85"/>
      <c r="DI462" s="84"/>
      <c r="DK462" s="84"/>
      <c r="DP462" s="84"/>
      <c r="DU462" s="84"/>
      <c r="DY462" s="84"/>
      <c r="EC462" s="84"/>
      <c r="EG462" s="84"/>
      <c r="EK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128"/>
      <c r="AA463" s="129"/>
      <c r="AC463" s="130"/>
      <c r="AD463" s="128"/>
      <c r="AE463" s="129"/>
      <c r="AG463" s="130"/>
      <c r="AH463" s="128"/>
      <c r="AI463" s="129"/>
      <c r="AK463" s="130"/>
      <c r="AL463" s="128"/>
      <c r="AM463" s="129"/>
      <c r="AO463" s="130"/>
      <c r="AP463" s="128"/>
      <c r="AQ463" s="129"/>
      <c r="AS463" s="130"/>
      <c r="AT463" s="128"/>
      <c r="AU463" s="129"/>
      <c r="AW463" s="130"/>
      <c r="AX463" s="85"/>
      <c r="AY463" s="84"/>
      <c r="AZ463" s="84"/>
      <c r="BA463" s="131"/>
      <c r="BB463" s="84"/>
      <c r="BE463" s="84"/>
      <c r="BI463" s="86"/>
      <c r="BO463" s="84"/>
      <c r="BT463" s="84"/>
      <c r="BY463" s="84"/>
      <c r="CD463" s="84"/>
      <c r="CI463" s="128"/>
      <c r="CJ463" s="129"/>
      <c r="CL463" s="132"/>
      <c r="CM463" s="128"/>
      <c r="CN463" s="129"/>
      <c r="CP463" s="132"/>
      <c r="CQ463" s="128"/>
      <c r="CR463" s="129"/>
      <c r="CT463" s="132"/>
      <c r="CU463" s="128"/>
      <c r="CV463" s="129"/>
      <c r="CX463" s="132"/>
      <c r="CY463" s="128"/>
      <c r="CZ463" s="129"/>
      <c r="DB463" s="132"/>
      <c r="DC463" s="128"/>
      <c r="DD463" s="129"/>
      <c r="DF463" s="132"/>
      <c r="DG463" s="85"/>
      <c r="DH463" s="85"/>
      <c r="DI463" s="84"/>
      <c r="DK463" s="84"/>
      <c r="DP463" s="84"/>
      <c r="DU463" s="84"/>
      <c r="DY463" s="84"/>
      <c r="EC463" s="84"/>
      <c r="EG463" s="84"/>
      <c r="EK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128"/>
      <c r="AA464" s="129"/>
      <c r="AC464" s="130"/>
      <c r="AD464" s="128"/>
      <c r="AE464" s="129"/>
      <c r="AG464" s="130"/>
      <c r="AH464" s="128"/>
      <c r="AI464" s="129"/>
      <c r="AK464" s="130"/>
      <c r="AL464" s="128"/>
      <c r="AM464" s="129"/>
      <c r="AO464" s="130"/>
      <c r="AP464" s="128"/>
      <c r="AQ464" s="129"/>
      <c r="AS464" s="130"/>
      <c r="AT464" s="128"/>
      <c r="AU464" s="129"/>
      <c r="AW464" s="130"/>
      <c r="AX464" s="85"/>
      <c r="AY464" s="84"/>
      <c r="AZ464" s="84"/>
      <c r="BA464" s="131"/>
      <c r="BB464" s="84"/>
      <c r="BE464" s="84"/>
      <c r="BI464" s="86"/>
      <c r="BO464" s="84"/>
      <c r="BT464" s="84"/>
      <c r="BY464" s="84"/>
      <c r="CD464" s="84"/>
      <c r="CI464" s="128"/>
      <c r="CJ464" s="129"/>
      <c r="CL464" s="132"/>
      <c r="CM464" s="128"/>
      <c r="CN464" s="129"/>
      <c r="CP464" s="132"/>
      <c r="CQ464" s="128"/>
      <c r="CR464" s="129"/>
      <c r="CT464" s="132"/>
      <c r="CU464" s="128"/>
      <c r="CV464" s="129"/>
      <c r="CX464" s="132"/>
      <c r="CY464" s="128"/>
      <c r="CZ464" s="129"/>
      <c r="DB464" s="132"/>
      <c r="DC464" s="128"/>
      <c r="DD464" s="129"/>
      <c r="DF464" s="132"/>
      <c r="DG464" s="85"/>
      <c r="DH464" s="85"/>
      <c r="DI464" s="84"/>
      <c r="DK464" s="84"/>
      <c r="DP464" s="84"/>
      <c r="DU464" s="84"/>
      <c r="DY464" s="84"/>
      <c r="EC464" s="84"/>
      <c r="EG464" s="84"/>
      <c r="EK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128"/>
      <c r="AA465" s="129"/>
      <c r="AC465" s="130"/>
      <c r="AD465" s="128"/>
      <c r="AE465" s="129"/>
      <c r="AG465" s="130"/>
      <c r="AH465" s="128"/>
      <c r="AI465" s="129"/>
      <c r="AK465" s="130"/>
      <c r="AL465" s="128"/>
      <c r="AM465" s="129"/>
      <c r="AO465" s="130"/>
      <c r="AP465" s="128"/>
      <c r="AQ465" s="129"/>
      <c r="AS465" s="130"/>
      <c r="AT465" s="128"/>
      <c r="AU465" s="129"/>
      <c r="AW465" s="130"/>
      <c r="AX465" s="85"/>
      <c r="AY465" s="84"/>
      <c r="AZ465" s="84"/>
      <c r="BA465" s="131"/>
      <c r="BB465" s="84"/>
      <c r="BE465" s="84"/>
      <c r="BI465" s="86"/>
      <c r="BO465" s="84"/>
      <c r="BT465" s="84"/>
      <c r="BY465" s="84"/>
      <c r="CD465" s="84"/>
      <c r="CI465" s="128"/>
      <c r="CJ465" s="129"/>
      <c r="CL465" s="132"/>
      <c r="CM465" s="128"/>
      <c r="CN465" s="129"/>
      <c r="CP465" s="132"/>
      <c r="CQ465" s="128"/>
      <c r="CR465" s="129"/>
      <c r="CT465" s="132"/>
      <c r="CU465" s="128"/>
      <c r="CV465" s="129"/>
      <c r="CX465" s="132"/>
      <c r="CY465" s="128"/>
      <c r="CZ465" s="129"/>
      <c r="DB465" s="132"/>
      <c r="DC465" s="128"/>
      <c r="DD465" s="129"/>
      <c r="DF465" s="132"/>
      <c r="DG465" s="85"/>
      <c r="DH465" s="85"/>
      <c r="DI465" s="84"/>
      <c r="DK465" s="84"/>
      <c r="DP465" s="84"/>
      <c r="DU465" s="84"/>
      <c r="DY465" s="84"/>
      <c r="EC465" s="84"/>
      <c r="EG465" s="84"/>
      <c r="EK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128"/>
      <c r="AA466" s="129"/>
      <c r="AC466" s="130"/>
      <c r="AD466" s="128"/>
      <c r="AE466" s="129"/>
      <c r="AG466" s="130"/>
      <c r="AH466" s="128"/>
      <c r="AI466" s="129"/>
      <c r="AK466" s="130"/>
      <c r="AL466" s="128"/>
      <c r="AM466" s="129"/>
      <c r="AO466" s="130"/>
      <c r="AP466" s="128"/>
      <c r="AQ466" s="129"/>
      <c r="AS466" s="130"/>
      <c r="AT466" s="128"/>
      <c r="AU466" s="129"/>
      <c r="AW466" s="130"/>
      <c r="AX466" s="85"/>
      <c r="AY466" s="84"/>
      <c r="AZ466" s="84"/>
      <c r="BA466" s="131"/>
      <c r="BB466" s="84"/>
      <c r="BE466" s="84"/>
      <c r="BI466" s="86"/>
      <c r="BO466" s="84"/>
      <c r="BT466" s="84"/>
      <c r="BY466" s="84"/>
      <c r="CD466" s="84"/>
      <c r="CI466" s="128"/>
      <c r="CJ466" s="129"/>
      <c r="CL466" s="132"/>
      <c r="CM466" s="128"/>
      <c r="CN466" s="129"/>
      <c r="CP466" s="132"/>
      <c r="CQ466" s="128"/>
      <c r="CR466" s="129"/>
      <c r="CT466" s="132"/>
      <c r="CU466" s="128"/>
      <c r="CV466" s="129"/>
      <c r="CX466" s="132"/>
      <c r="CY466" s="128"/>
      <c r="CZ466" s="129"/>
      <c r="DB466" s="132"/>
      <c r="DC466" s="128"/>
      <c r="DD466" s="129"/>
      <c r="DF466" s="132"/>
      <c r="DG466" s="85"/>
      <c r="DH466" s="85"/>
      <c r="DI466" s="84"/>
      <c r="DK466" s="84"/>
      <c r="DP466" s="84"/>
      <c r="DU466" s="84"/>
      <c r="DY466" s="84"/>
      <c r="EC466" s="84"/>
      <c r="EG466" s="84"/>
      <c r="EK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128"/>
      <c r="AA467" s="129"/>
      <c r="AC467" s="130"/>
      <c r="AD467" s="128"/>
      <c r="AE467" s="129"/>
      <c r="AG467" s="130"/>
      <c r="AH467" s="128"/>
      <c r="AI467" s="129"/>
      <c r="AK467" s="130"/>
      <c r="AL467" s="128"/>
      <c r="AM467" s="129"/>
      <c r="AO467" s="130"/>
      <c r="AP467" s="128"/>
      <c r="AQ467" s="129"/>
      <c r="AS467" s="130"/>
      <c r="AT467" s="128"/>
      <c r="AU467" s="129"/>
      <c r="AW467" s="130"/>
      <c r="AX467" s="85"/>
      <c r="AY467" s="84"/>
      <c r="AZ467" s="84"/>
      <c r="BA467" s="131"/>
      <c r="BB467" s="84"/>
      <c r="BE467" s="84"/>
      <c r="BI467" s="86"/>
      <c r="BO467" s="84"/>
      <c r="BT467" s="84"/>
      <c r="BY467" s="84"/>
      <c r="CD467" s="84"/>
      <c r="CI467" s="128"/>
      <c r="CJ467" s="129"/>
      <c r="CL467" s="132"/>
      <c r="CM467" s="128"/>
      <c r="CN467" s="129"/>
      <c r="CP467" s="132"/>
      <c r="CQ467" s="128"/>
      <c r="CR467" s="129"/>
      <c r="CT467" s="132"/>
      <c r="CU467" s="128"/>
      <c r="CV467" s="129"/>
      <c r="CX467" s="132"/>
      <c r="CY467" s="128"/>
      <c r="CZ467" s="129"/>
      <c r="DB467" s="132"/>
      <c r="DC467" s="128"/>
      <c r="DD467" s="129"/>
      <c r="DF467" s="132"/>
      <c r="DG467" s="85"/>
      <c r="DH467" s="85"/>
      <c r="DI467" s="84"/>
      <c r="DK467" s="84"/>
      <c r="DP467" s="84"/>
      <c r="DU467" s="84"/>
      <c r="DY467" s="84"/>
      <c r="EC467" s="84"/>
      <c r="EG467" s="84"/>
      <c r="EK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128"/>
      <c r="AA468" s="129"/>
      <c r="AC468" s="130"/>
      <c r="AD468" s="128"/>
      <c r="AE468" s="129"/>
      <c r="AG468" s="130"/>
      <c r="AH468" s="128"/>
      <c r="AI468" s="129"/>
      <c r="AK468" s="130"/>
      <c r="AL468" s="128"/>
      <c r="AM468" s="129"/>
      <c r="AO468" s="130"/>
      <c r="AP468" s="128"/>
      <c r="AQ468" s="129"/>
      <c r="AS468" s="130"/>
      <c r="AT468" s="128"/>
      <c r="AU468" s="129"/>
      <c r="AW468" s="130"/>
      <c r="AX468" s="85"/>
      <c r="AY468" s="84"/>
      <c r="AZ468" s="84"/>
      <c r="BA468" s="131"/>
      <c r="BB468" s="84"/>
      <c r="BE468" s="84"/>
      <c r="BI468" s="86"/>
      <c r="BO468" s="84"/>
      <c r="BT468" s="84"/>
      <c r="BY468" s="84"/>
      <c r="CD468" s="84"/>
      <c r="CI468" s="128"/>
      <c r="CJ468" s="129"/>
      <c r="CL468" s="132"/>
      <c r="CM468" s="128"/>
      <c r="CN468" s="129"/>
      <c r="CP468" s="132"/>
      <c r="CQ468" s="128"/>
      <c r="CR468" s="129"/>
      <c r="CT468" s="132"/>
      <c r="CU468" s="128"/>
      <c r="CV468" s="129"/>
      <c r="CX468" s="132"/>
      <c r="CY468" s="128"/>
      <c r="CZ468" s="129"/>
      <c r="DB468" s="132"/>
      <c r="DC468" s="128"/>
      <c r="DD468" s="129"/>
      <c r="DF468" s="132"/>
      <c r="DG468" s="85"/>
      <c r="DH468" s="85"/>
      <c r="DI468" s="84"/>
      <c r="DK468" s="84"/>
      <c r="DP468" s="84"/>
      <c r="DU468" s="84"/>
      <c r="DY468" s="84"/>
      <c r="EC468" s="84"/>
      <c r="EG468" s="84"/>
      <c r="EK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128"/>
      <c r="AA469" s="129"/>
      <c r="AC469" s="130"/>
      <c r="AD469" s="128"/>
      <c r="AE469" s="129"/>
      <c r="AG469" s="130"/>
      <c r="AH469" s="128"/>
      <c r="AI469" s="129"/>
      <c r="AK469" s="130"/>
      <c r="AL469" s="128"/>
      <c r="AM469" s="129"/>
      <c r="AO469" s="130"/>
      <c r="AP469" s="128"/>
      <c r="AQ469" s="129"/>
      <c r="AS469" s="130"/>
      <c r="AT469" s="128"/>
      <c r="AU469" s="129"/>
      <c r="AW469" s="130"/>
      <c r="AX469" s="85"/>
      <c r="AY469" s="84"/>
      <c r="AZ469" s="84"/>
      <c r="BA469" s="131"/>
      <c r="BB469" s="84"/>
      <c r="BE469" s="84"/>
      <c r="BI469" s="86"/>
      <c r="BO469" s="84"/>
      <c r="BT469" s="84"/>
      <c r="BY469" s="84"/>
      <c r="CD469" s="84"/>
      <c r="CI469" s="128"/>
      <c r="CJ469" s="129"/>
      <c r="CL469" s="132"/>
      <c r="CM469" s="128"/>
      <c r="CN469" s="129"/>
      <c r="CP469" s="132"/>
      <c r="CQ469" s="128"/>
      <c r="CR469" s="129"/>
      <c r="CT469" s="132"/>
      <c r="CU469" s="128"/>
      <c r="CV469" s="129"/>
      <c r="CX469" s="132"/>
      <c r="CY469" s="128"/>
      <c r="CZ469" s="129"/>
      <c r="DB469" s="132"/>
      <c r="DC469" s="128"/>
      <c r="DD469" s="129"/>
      <c r="DF469" s="132"/>
      <c r="DG469" s="85"/>
      <c r="DH469" s="85"/>
      <c r="DI469" s="84"/>
      <c r="DK469" s="84"/>
      <c r="DP469" s="84"/>
      <c r="DU469" s="84"/>
      <c r="DY469" s="84"/>
      <c r="EC469" s="84"/>
      <c r="EG469" s="84"/>
      <c r="EK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128"/>
      <c r="AA470" s="129"/>
      <c r="AC470" s="130"/>
      <c r="AD470" s="128"/>
      <c r="AE470" s="129"/>
      <c r="AG470" s="130"/>
      <c r="AH470" s="128"/>
      <c r="AI470" s="129"/>
      <c r="AK470" s="130"/>
      <c r="AL470" s="128"/>
      <c r="AM470" s="129"/>
      <c r="AO470" s="130"/>
      <c r="AP470" s="128"/>
      <c r="AQ470" s="129"/>
      <c r="AS470" s="130"/>
      <c r="AT470" s="128"/>
      <c r="AU470" s="129"/>
      <c r="AW470" s="130"/>
      <c r="AX470" s="85"/>
      <c r="AY470" s="84"/>
      <c r="AZ470" s="84"/>
      <c r="BA470" s="131"/>
      <c r="BB470" s="84"/>
      <c r="BE470" s="84"/>
      <c r="BI470" s="86"/>
      <c r="BO470" s="84"/>
      <c r="BT470" s="84"/>
      <c r="BY470" s="84"/>
      <c r="CD470" s="84"/>
      <c r="CI470" s="128"/>
      <c r="CJ470" s="129"/>
      <c r="CL470" s="132"/>
      <c r="CM470" s="128"/>
      <c r="CN470" s="129"/>
      <c r="CP470" s="132"/>
      <c r="CQ470" s="128"/>
      <c r="CR470" s="129"/>
      <c r="CT470" s="132"/>
      <c r="CU470" s="128"/>
      <c r="CV470" s="129"/>
      <c r="CX470" s="132"/>
      <c r="CY470" s="128"/>
      <c r="CZ470" s="129"/>
      <c r="DB470" s="132"/>
      <c r="DC470" s="128"/>
      <c r="DD470" s="129"/>
      <c r="DF470" s="132"/>
      <c r="DG470" s="85"/>
      <c r="DH470" s="85"/>
      <c r="DI470" s="84"/>
      <c r="DK470" s="84"/>
      <c r="DP470" s="84"/>
      <c r="DU470" s="84"/>
      <c r="DY470" s="84"/>
      <c r="EC470" s="84"/>
      <c r="EG470" s="84"/>
      <c r="EK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128"/>
      <c r="AA471" s="129"/>
      <c r="AC471" s="130"/>
      <c r="AD471" s="128"/>
      <c r="AE471" s="129"/>
      <c r="AG471" s="130"/>
      <c r="AH471" s="128"/>
      <c r="AI471" s="129"/>
      <c r="AK471" s="130"/>
      <c r="AL471" s="128"/>
      <c r="AM471" s="129"/>
      <c r="AO471" s="130"/>
      <c r="AP471" s="128"/>
      <c r="AQ471" s="129"/>
      <c r="AS471" s="130"/>
      <c r="AT471" s="128"/>
      <c r="AU471" s="129"/>
      <c r="AW471" s="130"/>
      <c r="AX471" s="85"/>
      <c r="AY471" s="84"/>
      <c r="AZ471" s="84"/>
      <c r="BA471" s="131"/>
      <c r="BB471" s="84"/>
      <c r="BE471" s="84"/>
      <c r="BI471" s="86"/>
      <c r="BO471" s="84"/>
      <c r="BT471" s="84"/>
      <c r="BY471" s="84"/>
      <c r="CD471" s="84"/>
      <c r="CI471" s="128"/>
      <c r="CJ471" s="129"/>
      <c r="CL471" s="132"/>
      <c r="CM471" s="128"/>
      <c r="CN471" s="129"/>
      <c r="CP471" s="132"/>
      <c r="CQ471" s="128"/>
      <c r="CR471" s="129"/>
      <c r="CT471" s="132"/>
      <c r="CU471" s="128"/>
      <c r="CV471" s="129"/>
      <c r="CX471" s="132"/>
      <c r="CY471" s="128"/>
      <c r="CZ471" s="129"/>
      <c r="DB471" s="132"/>
      <c r="DC471" s="128"/>
      <c r="DD471" s="129"/>
      <c r="DF471" s="132"/>
      <c r="DG471" s="85"/>
      <c r="DH471" s="85"/>
      <c r="DI471" s="84"/>
      <c r="DK471" s="84"/>
      <c r="DP471" s="84"/>
      <c r="DU471" s="84"/>
      <c r="DY471" s="84"/>
      <c r="EC471" s="84"/>
      <c r="EG471" s="84"/>
      <c r="EK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128"/>
      <c r="AA472" s="129"/>
      <c r="AC472" s="130"/>
      <c r="AD472" s="128"/>
      <c r="AE472" s="129"/>
      <c r="AG472" s="130"/>
      <c r="AH472" s="128"/>
      <c r="AI472" s="129"/>
      <c r="AK472" s="130"/>
      <c r="AL472" s="128"/>
      <c r="AM472" s="129"/>
      <c r="AO472" s="130"/>
      <c r="AP472" s="128"/>
      <c r="AQ472" s="129"/>
      <c r="AS472" s="130"/>
      <c r="AT472" s="128"/>
      <c r="AU472" s="129"/>
      <c r="AW472" s="130"/>
      <c r="AX472" s="85"/>
      <c r="AY472" s="84"/>
      <c r="AZ472" s="84"/>
      <c r="BA472" s="131"/>
      <c r="BB472" s="84"/>
      <c r="BE472" s="84"/>
      <c r="BI472" s="86"/>
      <c r="BO472" s="84"/>
      <c r="BT472" s="84"/>
      <c r="BY472" s="84"/>
      <c r="CD472" s="84"/>
      <c r="CI472" s="128"/>
      <c r="CJ472" s="129"/>
      <c r="CL472" s="132"/>
      <c r="CM472" s="128"/>
      <c r="CN472" s="129"/>
      <c r="CP472" s="132"/>
      <c r="CQ472" s="128"/>
      <c r="CR472" s="129"/>
      <c r="CT472" s="132"/>
      <c r="CU472" s="128"/>
      <c r="CV472" s="129"/>
      <c r="CX472" s="132"/>
      <c r="CY472" s="128"/>
      <c r="CZ472" s="129"/>
      <c r="DB472" s="132"/>
      <c r="DC472" s="128"/>
      <c r="DD472" s="129"/>
      <c r="DF472" s="132"/>
      <c r="DG472" s="85"/>
      <c r="DH472" s="85"/>
      <c r="DI472" s="84"/>
      <c r="DK472" s="84"/>
      <c r="DP472" s="84"/>
      <c r="DU472" s="84"/>
      <c r="DY472" s="84"/>
      <c r="EC472" s="84"/>
      <c r="EG472" s="84"/>
      <c r="EK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128"/>
      <c r="AA473" s="129"/>
      <c r="AC473" s="130"/>
      <c r="AD473" s="128"/>
      <c r="AE473" s="129"/>
      <c r="AG473" s="130"/>
      <c r="AH473" s="128"/>
      <c r="AI473" s="129"/>
      <c r="AK473" s="130"/>
      <c r="AL473" s="128"/>
      <c r="AM473" s="129"/>
      <c r="AO473" s="130"/>
      <c r="AP473" s="128"/>
      <c r="AQ473" s="129"/>
      <c r="AS473" s="130"/>
      <c r="AT473" s="128"/>
      <c r="AU473" s="129"/>
      <c r="AW473" s="130"/>
      <c r="AX473" s="85"/>
      <c r="AY473" s="84"/>
      <c r="AZ473" s="84"/>
      <c r="BA473" s="131"/>
      <c r="BB473" s="84"/>
      <c r="BE473" s="84"/>
      <c r="BI473" s="86"/>
      <c r="BO473" s="84"/>
      <c r="BT473" s="84"/>
      <c r="BY473" s="84"/>
      <c r="CD473" s="84"/>
      <c r="CI473" s="128"/>
      <c r="CJ473" s="129"/>
      <c r="CL473" s="132"/>
      <c r="CM473" s="128"/>
      <c r="CN473" s="129"/>
      <c r="CP473" s="132"/>
      <c r="CQ473" s="128"/>
      <c r="CR473" s="129"/>
      <c r="CT473" s="132"/>
      <c r="CU473" s="128"/>
      <c r="CV473" s="129"/>
      <c r="CX473" s="132"/>
      <c r="CY473" s="128"/>
      <c r="CZ473" s="129"/>
      <c r="DB473" s="132"/>
      <c r="DC473" s="128"/>
      <c r="DD473" s="129"/>
      <c r="DF473" s="132"/>
      <c r="DG473" s="85"/>
      <c r="DH473" s="85"/>
      <c r="DI473" s="84"/>
      <c r="DK473" s="84"/>
      <c r="DP473" s="84"/>
      <c r="DU473" s="84"/>
      <c r="DY473" s="84"/>
      <c r="EC473" s="84"/>
      <c r="EG473" s="84"/>
      <c r="EK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128"/>
      <c r="AA474" s="129"/>
      <c r="AC474" s="130"/>
      <c r="AD474" s="128"/>
      <c r="AE474" s="129"/>
      <c r="AG474" s="130"/>
      <c r="AH474" s="128"/>
      <c r="AI474" s="129"/>
      <c r="AK474" s="130"/>
      <c r="AL474" s="128"/>
      <c r="AM474" s="129"/>
      <c r="AO474" s="130"/>
      <c r="AP474" s="128"/>
      <c r="AQ474" s="129"/>
      <c r="AS474" s="130"/>
      <c r="AT474" s="128"/>
      <c r="AU474" s="129"/>
      <c r="AW474" s="130"/>
      <c r="AX474" s="85"/>
      <c r="AY474" s="84"/>
      <c r="AZ474" s="84"/>
      <c r="BA474" s="131"/>
      <c r="BB474" s="84"/>
      <c r="BE474" s="84"/>
      <c r="BI474" s="86"/>
      <c r="BO474" s="84"/>
      <c r="BT474" s="84"/>
      <c r="BY474" s="84"/>
      <c r="CD474" s="84"/>
      <c r="CI474" s="128"/>
      <c r="CJ474" s="129"/>
      <c r="CL474" s="132"/>
      <c r="CM474" s="128"/>
      <c r="CN474" s="129"/>
      <c r="CP474" s="132"/>
      <c r="CQ474" s="128"/>
      <c r="CR474" s="129"/>
      <c r="CT474" s="132"/>
      <c r="CU474" s="128"/>
      <c r="CV474" s="129"/>
      <c r="CX474" s="132"/>
      <c r="CY474" s="128"/>
      <c r="CZ474" s="129"/>
      <c r="DB474" s="132"/>
      <c r="DC474" s="128"/>
      <c r="DD474" s="129"/>
      <c r="DF474" s="132"/>
      <c r="DG474" s="85"/>
      <c r="DH474" s="85"/>
      <c r="DI474" s="84"/>
      <c r="DK474" s="84"/>
      <c r="DP474" s="84"/>
      <c r="DU474" s="84"/>
      <c r="DY474" s="84"/>
      <c r="EC474" s="84"/>
      <c r="EG474" s="84"/>
      <c r="EK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128"/>
      <c r="AA475" s="129"/>
      <c r="AC475" s="130"/>
      <c r="AD475" s="128"/>
      <c r="AE475" s="129"/>
      <c r="AG475" s="130"/>
      <c r="AH475" s="128"/>
      <c r="AI475" s="129"/>
      <c r="AK475" s="130"/>
      <c r="AL475" s="128"/>
      <c r="AM475" s="129"/>
      <c r="AO475" s="130"/>
      <c r="AP475" s="128"/>
      <c r="AQ475" s="129"/>
      <c r="AS475" s="130"/>
      <c r="AT475" s="128"/>
      <c r="AU475" s="129"/>
      <c r="AW475" s="130"/>
      <c r="AX475" s="85"/>
      <c r="AY475" s="84"/>
      <c r="AZ475" s="84"/>
      <c r="BA475" s="131"/>
      <c r="BB475" s="84"/>
      <c r="BE475" s="84"/>
      <c r="BI475" s="86"/>
      <c r="BO475" s="84"/>
      <c r="BT475" s="84"/>
      <c r="BY475" s="84"/>
      <c r="CD475" s="84"/>
      <c r="CI475" s="128"/>
      <c r="CJ475" s="129"/>
      <c r="CL475" s="132"/>
      <c r="CM475" s="128"/>
      <c r="CN475" s="129"/>
      <c r="CP475" s="132"/>
      <c r="CQ475" s="128"/>
      <c r="CR475" s="129"/>
      <c r="CT475" s="132"/>
      <c r="CU475" s="128"/>
      <c r="CV475" s="129"/>
      <c r="CX475" s="132"/>
      <c r="CY475" s="128"/>
      <c r="CZ475" s="129"/>
      <c r="DB475" s="132"/>
      <c r="DC475" s="128"/>
      <c r="DD475" s="129"/>
      <c r="DF475" s="132"/>
      <c r="DG475" s="85"/>
      <c r="DH475" s="85"/>
      <c r="DI475" s="84"/>
      <c r="DK475" s="84"/>
      <c r="DP475" s="84"/>
      <c r="DU475" s="84"/>
      <c r="DY475" s="84"/>
      <c r="EC475" s="84"/>
      <c r="EG475" s="84"/>
      <c r="EK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128"/>
      <c r="AA476" s="129"/>
      <c r="AC476" s="130"/>
      <c r="AD476" s="128"/>
      <c r="AE476" s="129"/>
      <c r="AG476" s="130"/>
      <c r="AH476" s="128"/>
      <c r="AI476" s="129"/>
      <c r="AK476" s="130"/>
      <c r="AL476" s="128"/>
      <c r="AM476" s="129"/>
      <c r="AO476" s="130"/>
      <c r="AP476" s="128"/>
      <c r="AQ476" s="129"/>
      <c r="AS476" s="130"/>
      <c r="AT476" s="128"/>
      <c r="AU476" s="129"/>
      <c r="AW476" s="130"/>
      <c r="AX476" s="85"/>
      <c r="AY476" s="84"/>
      <c r="AZ476" s="84"/>
      <c r="BA476" s="131"/>
      <c r="BB476" s="84"/>
      <c r="BE476" s="84"/>
      <c r="BI476" s="86"/>
      <c r="BO476" s="84"/>
      <c r="BT476" s="84"/>
      <c r="BY476" s="84"/>
      <c r="CD476" s="84"/>
      <c r="CI476" s="128"/>
      <c r="CJ476" s="129"/>
      <c r="CL476" s="132"/>
      <c r="CM476" s="128"/>
      <c r="CN476" s="129"/>
      <c r="CP476" s="132"/>
      <c r="CQ476" s="128"/>
      <c r="CR476" s="129"/>
      <c r="CT476" s="132"/>
      <c r="CU476" s="128"/>
      <c r="CV476" s="129"/>
      <c r="CX476" s="132"/>
      <c r="CY476" s="128"/>
      <c r="CZ476" s="129"/>
      <c r="DB476" s="132"/>
      <c r="DC476" s="128"/>
      <c r="DD476" s="129"/>
      <c r="DF476" s="132"/>
      <c r="DG476" s="85"/>
      <c r="DH476" s="85"/>
      <c r="DI476" s="84"/>
      <c r="DK476" s="84"/>
      <c r="DP476" s="84"/>
      <c r="DU476" s="84"/>
      <c r="DY476" s="84"/>
      <c r="EC476" s="84"/>
      <c r="EG476" s="84"/>
      <c r="EK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128"/>
      <c r="AA477" s="129"/>
      <c r="AC477" s="130"/>
      <c r="AD477" s="128"/>
      <c r="AE477" s="129"/>
      <c r="AG477" s="130"/>
      <c r="AH477" s="128"/>
      <c r="AI477" s="129"/>
      <c r="AK477" s="130"/>
      <c r="AL477" s="128"/>
      <c r="AM477" s="129"/>
      <c r="AO477" s="130"/>
      <c r="AP477" s="128"/>
      <c r="AQ477" s="129"/>
      <c r="AS477" s="130"/>
      <c r="AT477" s="128"/>
      <c r="AU477" s="129"/>
      <c r="AW477" s="130"/>
      <c r="AX477" s="85"/>
      <c r="AY477" s="84"/>
      <c r="AZ477" s="84"/>
      <c r="BA477" s="131"/>
      <c r="BB477" s="84"/>
      <c r="BE477" s="84"/>
      <c r="BI477" s="86"/>
      <c r="BO477" s="84"/>
      <c r="BT477" s="84"/>
      <c r="BY477" s="84"/>
      <c r="CD477" s="84"/>
      <c r="CI477" s="128"/>
      <c r="CJ477" s="129"/>
      <c r="CL477" s="132"/>
      <c r="CM477" s="128"/>
      <c r="CN477" s="129"/>
      <c r="CP477" s="132"/>
      <c r="CQ477" s="128"/>
      <c r="CR477" s="129"/>
      <c r="CT477" s="132"/>
      <c r="CU477" s="128"/>
      <c r="CV477" s="129"/>
      <c r="CX477" s="132"/>
      <c r="CY477" s="128"/>
      <c r="CZ477" s="129"/>
      <c r="DB477" s="132"/>
      <c r="DC477" s="128"/>
      <c r="DD477" s="129"/>
      <c r="DF477" s="132"/>
      <c r="DG477" s="85"/>
      <c r="DH477" s="85"/>
      <c r="DI477" s="84"/>
      <c r="DK477" s="84"/>
      <c r="DP477" s="84"/>
      <c r="DU477" s="84"/>
      <c r="DY477" s="84"/>
      <c r="EC477" s="84"/>
      <c r="EG477" s="84"/>
      <c r="EK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128"/>
      <c r="AA478" s="129"/>
      <c r="AC478" s="130"/>
      <c r="AD478" s="128"/>
      <c r="AE478" s="129"/>
      <c r="AG478" s="130"/>
      <c r="AH478" s="128"/>
      <c r="AI478" s="129"/>
      <c r="AK478" s="130"/>
      <c r="AL478" s="128"/>
      <c r="AM478" s="129"/>
      <c r="AO478" s="130"/>
      <c r="AP478" s="128"/>
      <c r="AQ478" s="129"/>
      <c r="AS478" s="130"/>
      <c r="AT478" s="128"/>
      <c r="AU478" s="129"/>
      <c r="AW478" s="130"/>
      <c r="AX478" s="85"/>
      <c r="AY478" s="84"/>
      <c r="AZ478" s="84"/>
      <c r="BA478" s="131"/>
      <c r="BB478" s="84"/>
      <c r="BE478" s="84"/>
      <c r="BI478" s="86"/>
      <c r="BO478" s="84"/>
      <c r="BT478" s="84"/>
      <c r="BY478" s="84"/>
      <c r="CD478" s="84"/>
      <c r="CI478" s="128"/>
      <c r="CJ478" s="129"/>
      <c r="CL478" s="132"/>
      <c r="CM478" s="128"/>
      <c r="CN478" s="129"/>
      <c r="CP478" s="132"/>
      <c r="CQ478" s="128"/>
      <c r="CR478" s="129"/>
      <c r="CT478" s="132"/>
      <c r="CU478" s="128"/>
      <c r="CV478" s="129"/>
      <c r="CX478" s="132"/>
      <c r="CY478" s="128"/>
      <c r="CZ478" s="129"/>
      <c r="DB478" s="132"/>
      <c r="DC478" s="128"/>
      <c r="DD478" s="129"/>
      <c r="DF478" s="132"/>
      <c r="DG478" s="85"/>
      <c r="DH478" s="85"/>
      <c r="DI478" s="84"/>
      <c r="DK478" s="84"/>
      <c r="DP478" s="84"/>
      <c r="DU478" s="84"/>
      <c r="DY478" s="84"/>
      <c r="EC478" s="84"/>
      <c r="EG478" s="84"/>
      <c r="EK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128"/>
      <c r="AA479" s="129"/>
      <c r="AC479" s="130"/>
      <c r="AD479" s="128"/>
      <c r="AE479" s="129"/>
      <c r="AG479" s="130"/>
      <c r="AH479" s="128"/>
      <c r="AI479" s="129"/>
      <c r="AK479" s="130"/>
      <c r="AL479" s="128"/>
      <c r="AM479" s="129"/>
      <c r="AO479" s="130"/>
      <c r="AP479" s="128"/>
      <c r="AQ479" s="129"/>
      <c r="AS479" s="130"/>
      <c r="AT479" s="128"/>
      <c r="AU479" s="129"/>
      <c r="AW479" s="130"/>
      <c r="AX479" s="85"/>
      <c r="AY479" s="84"/>
      <c r="AZ479" s="84"/>
      <c r="BA479" s="131"/>
      <c r="BB479" s="84"/>
      <c r="BE479" s="84"/>
      <c r="BI479" s="86"/>
      <c r="BO479" s="84"/>
      <c r="BT479" s="84"/>
      <c r="BY479" s="84"/>
      <c r="CD479" s="84"/>
      <c r="CI479" s="128"/>
      <c r="CJ479" s="129"/>
      <c r="CL479" s="132"/>
      <c r="CM479" s="128"/>
      <c r="CN479" s="129"/>
      <c r="CP479" s="132"/>
      <c r="CQ479" s="128"/>
      <c r="CR479" s="129"/>
      <c r="CT479" s="132"/>
      <c r="CU479" s="128"/>
      <c r="CV479" s="129"/>
      <c r="CX479" s="132"/>
      <c r="CY479" s="128"/>
      <c r="CZ479" s="129"/>
      <c r="DB479" s="132"/>
      <c r="DC479" s="128"/>
      <c r="DD479" s="129"/>
      <c r="DF479" s="132"/>
      <c r="DG479" s="85"/>
      <c r="DH479" s="85"/>
      <c r="DI479" s="84"/>
      <c r="DK479" s="84"/>
      <c r="DP479" s="84"/>
      <c r="DU479" s="84"/>
      <c r="DY479" s="84"/>
      <c r="EC479" s="84"/>
      <c r="EG479" s="84"/>
      <c r="EK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128"/>
      <c r="AA480" s="129"/>
      <c r="AC480" s="130"/>
      <c r="AD480" s="128"/>
      <c r="AE480" s="129"/>
      <c r="AG480" s="130"/>
      <c r="AH480" s="128"/>
      <c r="AI480" s="129"/>
      <c r="AK480" s="130"/>
      <c r="AL480" s="128"/>
      <c r="AM480" s="129"/>
      <c r="AO480" s="130"/>
      <c r="AP480" s="128"/>
      <c r="AQ480" s="129"/>
      <c r="AS480" s="130"/>
      <c r="AT480" s="128"/>
      <c r="AU480" s="129"/>
      <c r="AW480" s="130"/>
      <c r="AX480" s="85"/>
      <c r="AY480" s="84"/>
      <c r="AZ480" s="84"/>
      <c r="BA480" s="131"/>
      <c r="BB480" s="84"/>
      <c r="BE480" s="84"/>
      <c r="BI480" s="86"/>
      <c r="BO480" s="84"/>
      <c r="BT480" s="84"/>
      <c r="BY480" s="84"/>
      <c r="CD480" s="84"/>
      <c r="CI480" s="128"/>
      <c r="CJ480" s="129"/>
      <c r="CL480" s="132"/>
      <c r="CM480" s="128"/>
      <c r="CN480" s="129"/>
      <c r="CP480" s="132"/>
      <c r="CQ480" s="128"/>
      <c r="CR480" s="129"/>
      <c r="CT480" s="132"/>
      <c r="CU480" s="128"/>
      <c r="CV480" s="129"/>
      <c r="CX480" s="132"/>
      <c r="CY480" s="128"/>
      <c r="CZ480" s="129"/>
      <c r="DB480" s="132"/>
      <c r="DC480" s="128"/>
      <c r="DD480" s="129"/>
      <c r="DF480" s="132"/>
      <c r="DG480" s="85"/>
      <c r="DH480" s="85"/>
      <c r="DI480" s="84"/>
      <c r="DK480" s="84"/>
      <c r="DP480" s="84"/>
      <c r="DU480" s="84"/>
      <c r="DY480" s="84"/>
      <c r="EC480" s="84"/>
      <c r="EG480" s="84"/>
      <c r="EK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128"/>
      <c r="AA481" s="129"/>
      <c r="AC481" s="130"/>
      <c r="AD481" s="128"/>
      <c r="AE481" s="129"/>
      <c r="AG481" s="130"/>
      <c r="AH481" s="128"/>
      <c r="AI481" s="129"/>
      <c r="AK481" s="130"/>
      <c r="AL481" s="128"/>
      <c r="AM481" s="129"/>
      <c r="AO481" s="130"/>
      <c r="AP481" s="128"/>
      <c r="AQ481" s="129"/>
      <c r="AS481" s="130"/>
      <c r="AT481" s="128"/>
      <c r="AU481" s="129"/>
      <c r="AW481" s="130"/>
      <c r="AX481" s="85"/>
      <c r="AY481" s="84"/>
      <c r="AZ481" s="84"/>
      <c r="BA481" s="131"/>
      <c r="BB481" s="84"/>
      <c r="BE481" s="84"/>
      <c r="BI481" s="86"/>
      <c r="BO481" s="84"/>
      <c r="BT481" s="84"/>
      <c r="BY481" s="84"/>
      <c r="CD481" s="84"/>
      <c r="CI481" s="128"/>
      <c r="CJ481" s="129"/>
      <c r="CL481" s="132"/>
      <c r="CM481" s="128"/>
      <c r="CN481" s="129"/>
      <c r="CP481" s="132"/>
      <c r="CQ481" s="128"/>
      <c r="CR481" s="129"/>
      <c r="CT481" s="132"/>
      <c r="CU481" s="128"/>
      <c r="CV481" s="129"/>
      <c r="CX481" s="132"/>
      <c r="CY481" s="128"/>
      <c r="CZ481" s="129"/>
      <c r="DB481" s="132"/>
      <c r="DC481" s="128"/>
      <c r="DD481" s="129"/>
      <c r="DF481" s="132"/>
      <c r="DG481" s="85"/>
      <c r="DH481" s="85"/>
      <c r="DI481" s="84"/>
      <c r="DK481" s="84"/>
      <c r="DP481" s="84"/>
      <c r="DU481" s="84"/>
      <c r="DY481" s="84"/>
      <c r="EC481" s="84"/>
      <c r="EG481" s="84"/>
      <c r="EK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128"/>
      <c r="AA482" s="129"/>
      <c r="AC482" s="130"/>
      <c r="AD482" s="128"/>
      <c r="AE482" s="129"/>
      <c r="AG482" s="130"/>
      <c r="AH482" s="128"/>
      <c r="AI482" s="129"/>
      <c r="AK482" s="130"/>
      <c r="AL482" s="128"/>
      <c r="AM482" s="129"/>
      <c r="AO482" s="130"/>
      <c r="AP482" s="128"/>
      <c r="AQ482" s="129"/>
      <c r="AS482" s="130"/>
      <c r="AT482" s="128"/>
      <c r="AU482" s="129"/>
      <c r="AW482" s="130"/>
      <c r="AX482" s="85"/>
      <c r="AY482" s="84"/>
      <c r="AZ482" s="84"/>
      <c r="BA482" s="131"/>
      <c r="BB482" s="84"/>
      <c r="BE482" s="84"/>
      <c r="BI482" s="86"/>
      <c r="BO482" s="84"/>
      <c r="BT482" s="84"/>
      <c r="BY482" s="84"/>
      <c r="CD482" s="84"/>
      <c r="CI482" s="128"/>
      <c r="CJ482" s="129"/>
      <c r="CL482" s="132"/>
      <c r="CM482" s="128"/>
      <c r="CN482" s="129"/>
      <c r="CP482" s="132"/>
      <c r="CQ482" s="128"/>
      <c r="CR482" s="129"/>
      <c r="CT482" s="132"/>
      <c r="CU482" s="128"/>
      <c r="CV482" s="129"/>
      <c r="CX482" s="132"/>
      <c r="CY482" s="128"/>
      <c r="CZ482" s="129"/>
      <c r="DB482" s="132"/>
      <c r="DC482" s="128"/>
      <c r="DD482" s="129"/>
      <c r="DF482" s="132"/>
      <c r="DG482" s="85"/>
      <c r="DH482" s="85"/>
      <c r="DI482" s="84"/>
      <c r="DK482" s="84"/>
      <c r="DP482" s="84"/>
      <c r="DU482" s="84"/>
      <c r="DY482" s="84"/>
      <c r="EC482" s="84"/>
      <c r="EG482" s="84"/>
      <c r="EK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128"/>
      <c r="AA483" s="129"/>
      <c r="AC483" s="130"/>
      <c r="AD483" s="128"/>
      <c r="AE483" s="129"/>
      <c r="AG483" s="130"/>
      <c r="AH483" s="128"/>
      <c r="AI483" s="129"/>
      <c r="AK483" s="130"/>
      <c r="AL483" s="128"/>
      <c r="AM483" s="129"/>
      <c r="AO483" s="130"/>
      <c r="AP483" s="128"/>
      <c r="AQ483" s="129"/>
      <c r="AS483" s="130"/>
      <c r="AT483" s="128"/>
      <c r="AU483" s="129"/>
      <c r="AW483" s="130"/>
      <c r="AX483" s="85"/>
      <c r="AY483" s="84"/>
      <c r="AZ483" s="84"/>
      <c r="BA483" s="131"/>
      <c r="BB483" s="84"/>
      <c r="BE483" s="84"/>
      <c r="BI483" s="86"/>
      <c r="BO483" s="84"/>
      <c r="BT483" s="84"/>
      <c r="BY483" s="84"/>
      <c r="CD483" s="84"/>
      <c r="CI483" s="128"/>
      <c r="CJ483" s="129"/>
      <c r="CL483" s="132"/>
      <c r="CM483" s="128"/>
      <c r="CN483" s="129"/>
      <c r="CP483" s="132"/>
      <c r="CQ483" s="128"/>
      <c r="CR483" s="129"/>
      <c r="CT483" s="132"/>
      <c r="CU483" s="128"/>
      <c r="CV483" s="129"/>
      <c r="CX483" s="132"/>
      <c r="CY483" s="128"/>
      <c r="CZ483" s="129"/>
      <c r="DB483" s="132"/>
      <c r="DC483" s="128"/>
      <c r="DD483" s="129"/>
      <c r="DF483" s="132"/>
      <c r="DG483" s="85"/>
      <c r="DH483" s="85"/>
      <c r="DI483" s="84"/>
      <c r="DK483" s="84"/>
      <c r="DP483" s="84"/>
      <c r="DU483" s="84"/>
      <c r="DY483" s="84"/>
      <c r="EC483" s="84"/>
      <c r="EG483" s="84"/>
      <c r="EK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128"/>
      <c r="AA484" s="129"/>
      <c r="AC484" s="130"/>
      <c r="AD484" s="128"/>
      <c r="AE484" s="129"/>
      <c r="AG484" s="130"/>
      <c r="AH484" s="128"/>
      <c r="AI484" s="129"/>
      <c r="AK484" s="130"/>
      <c r="AL484" s="128"/>
      <c r="AM484" s="129"/>
      <c r="AO484" s="130"/>
      <c r="AP484" s="128"/>
      <c r="AQ484" s="129"/>
      <c r="AS484" s="130"/>
      <c r="AT484" s="128"/>
      <c r="AU484" s="129"/>
      <c r="AW484" s="130"/>
      <c r="AX484" s="85"/>
      <c r="AY484" s="84"/>
      <c r="AZ484" s="84"/>
      <c r="BA484" s="131"/>
      <c r="BB484" s="84"/>
      <c r="BE484" s="84"/>
      <c r="BI484" s="86"/>
      <c r="BO484" s="84"/>
      <c r="BT484" s="84"/>
      <c r="BY484" s="84"/>
      <c r="CD484" s="84"/>
      <c r="CI484" s="128"/>
      <c r="CJ484" s="129"/>
      <c r="CL484" s="132"/>
      <c r="CM484" s="128"/>
      <c r="CN484" s="129"/>
      <c r="CP484" s="132"/>
      <c r="CQ484" s="128"/>
      <c r="CR484" s="129"/>
      <c r="CT484" s="132"/>
      <c r="CU484" s="128"/>
      <c r="CV484" s="129"/>
      <c r="CX484" s="132"/>
      <c r="CY484" s="128"/>
      <c r="CZ484" s="129"/>
      <c r="DB484" s="132"/>
      <c r="DC484" s="128"/>
      <c r="DD484" s="129"/>
      <c r="DF484" s="132"/>
      <c r="DG484" s="85"/>
      <c r="DH484" s="85"/>
      <c r="DI484" s="84"/>
      <c r="DK484" s="84"/>
      <c r="DP484" s="84"/>
      <c r="DU484" s="84"/>
      <c r="DY484" s="84"/>
      <c r="EC484" s="84"/>
      <c r="EG484" s="84"/>
      <c r="EK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128"/>
      <c r="AA485" s="129"/>
      <c r="AC485" s="130"/>
      <c r="AD485" s="128"/>
      <c r="AE485" s="129"/>
      <c r="AG485" s="130"/>
      <c r="AH485" s="128"/>
      <c r="AI485" s="129"/>
      <c r="AK485" s="130"/>
      <c r="AL485" s="128"/>
      <c r="AM485" s="129"/>
      <c r="AO485" s="130"/>
      <c r="AP485" s="128"/>
      <c r="AQ485" s="129"/>
      <c r="AS485" s="130"/>
      <c r="AT485" s="128"/>
      <c r="AU485" s="129"/>
      <c r="AW485" s="130"/>
      <c r="AX485" s="85"/>
      <c r="AY485" s="84"/>
      <c r="AZ485" s="84"/>
      <c r="BA485" s="131"/>
      <c r="BB485" s="84"/>
      <c r="BE485" s="84"/>
      <c r="BI485" s="86"/>
      <c r="BO485" s="84"/>
      <c r="BT485" s="84"/>
      <c r="BY485" s="84"/>
      <c r="CD485" s="84"/>
      <c r="CI485" s="128"/>
      <c r="CJ485" s="129"/>
      <c r="CL485" s="132"/>
      <c r="CM485" s="128"/>
      <c r="CN485" s="129"/>
      <c r="CP485" s="132"/>
      <c r="CQ485" s="128"/>
      <c r="CR485" s="129"/>
      <c r="CT485" s="132"/>
      <c r="CU485" s="128"/>
      <c r="CV485" s="129"/>
      <c r="CX485" s="132"/>
      <c r="CY485" s="128"/>
      <c r="CZ485" s="129"/>
      <c r="DB485" s="132"/>
      <c r="DC485" s="128"/>
      <c r="DD485" s="129"/>
      <c r="DF485" s="132"/>
      <c r="DG485" s="85"/>
      <c r="DH485" s="85"/>
      <c r="DI485" s="84"/>
      <c r="DK485" s="84"/>
      <c r="DP485" s="84"/>
      <c r="DU485" s="84"/>
      <c r="DY485" s="84"/>
      <c r="EC485" s="84"/>
      <c r="EG485" s="84"/>
      <c r="EK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128"/>
      <c r="AA486" s="129"/>
      <c r="AC486" s="130"/>
      <c r="AD486" s="128"/>
      <c r="AE486" s="129"/>
      <c r="AG486" s="130"/>
      <c r="AH486" s="128"/>
      <c r="AI486" s="129"/>
      <c r="AK486" s="130"/>
      <c r="AL486" s="128"/>
      <c r="AM486" s="129"/>
      <c r="AO486" s="130"/>
      <c r="AP486" s="128"/>
      <c r="AQ486" s="129"/>
      <c r="AS486" s="130"/>
      <c r="AT486" s="128"/>
      <c r="AU486" s="129"/>
      <c r="AW486" s="130"/>
      <c r="AX486" s="85"/>
      <c r="AY486" s="84"/>
      <c r="AZ486" s="84"/>
      <c r="BA486" s="131"/>
      <c r="BB486" s="84"/>
      <c r="BE486" s="84"/>
      <c r="BI486" s="86"/>
      <c r="BO486" s="84"/>
      <c r="BT486" s="84"/>
      <c r="BY486" s="84"/>
      <c r="CD486" s="84"/>
      <c r="CI486" s="128"/>
      <c r="CJ486" s="129"/>
      <c r="CL486" s="132"/>
      <c r="CM486" s="128"/>
      <c r="CN486" s="129"/>
      <c r="CP486" s="132"/>
      <c r="CQ486" s="128"/>
      <c r="CR486" s="129"/>
      <c r="CT486" s="132"/>
      <c r="CU486" s="128"/>
      <c r="CV486" s="129"/>
      <c r="CX486" s="132"/>
      <c r="CY486" s="128"/>
      <c r="CZ486" s="129"/>
      <c r="DB486" s="132"/>
      <c r="DC486" s="128"/>
      <c r="DD486" s="129"/>
      <c r="DF486" s="132"/>
      <c r="DG486" s="85"/>
      <c r="DH486" s="85"/>
      <c r="DI486" s="84"/>
      <c r="DK486" s="84"/>
      <c r="DP486" s="84"/>
      <c r="DU486" s="84"/>
      <c r="DY486" s="84"/>
      <c r="EC486" s="84"/>
      <c r="EG486" s="84"/>
      <c r="EK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128"/>
      <c r="AA487" s="129"/>
      <c r="AC487" s="130"/>
      <c r="AD487" s="128"/>
      <c r="AE487" s="129"/>
      <c r="AG487" s="130"/>
      <c r="AH487" s="128"/>
      <c r="AI487" s="129"/>
      <c r="AK487" s="130"/>
      <c r="AL487" s="128"/>
      <c r="AM487" s="129"/>
      <c r="AO487" s="130"/>
      <c r="AP487" s="128"/>
      <c r="AQ487" s="129"/>
      <c r="AS487" s="130"/>
      <c r="AT487" s="128"/>
      <c r="AU487" s="129"/>
      <c r="AW487" s="130"/>
      <c r="AX487" s="85"/>
      <c r="AY487" s="84"/>
      <c r="AZ487" s="84"/>
      <c r="BA487" s="131"/>
      <c r="BB487" s="84"/>
      <c r="BE487" s="84"/>
      <c r="BI487" s="86"/>
      <c r="BO487" s="84"/>
      <c r="BT487" s="84"/>
      <c r="BY487" s="84"/>
      <c r="CD487" s="84"/>
      <c r="CI487" s="128"/>
      <c r="CJ487" s="129"/>
      <c r="CL487" s="132"/>
      <c r="CM487" s="128"/>
      <c r="CN487" s="129"/>
      <c r="CP487" s="132"/>
      <c r="CQ487" s="128"/>
      <c r="CR487" s="129"/>
      <c r="CT487" s="132"/>
      <c r="CU487" s="128"/>
      <c r="CV487" s="129"/>
      <c r="CX487" s="132"/>
      <c r="CY487" s="128"/>
      <c r="CZ487" s="129"/>
      <c r="DB487" s="132"/>
      <c r="DC487" s="128"/>
      <c r="DD487" s="129"/>
      <c r="DF487" s="132"/>
      <c r="DG487" s="85"/>
      <c r="DH487" s="85"/>
      <c r="DI487" s="84"/>
      <c r="DK487" s="84"/>
      <c r="DP487" s="84"/>
      <c r="DU487" s="84"/>
      <c r="DY487" s="84"/>
      <c r="EC487" s="84"/>
      <c r="EG487" s="84"/>
      <c r="EK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128"/>
      <c r="AA488" s="129"/>
      <c r="AC488" s="130"/>
      <c r="AD488" s="128"/>
      <c r="AE488" s="129"/>
      <c r="AG488" s="130"/>
      <c r="AH488" s="128"/>
      <c r="AI488" s="129"/>
      <c r="AK488" s="130"/>
      <c r="AL488" s="128"/>
      <c r="AM488" s="129"/>
      <c r="AO488" s="130"/>
      <c r="AP488" s="128"/>
      <c r="AQ488" s="129"/>
      <c r="AS488" s="130"/>
      <c r="AT488" s="128"/>
      <c r="AU488" s="129"/>
      <c r="AW488" s="130"/>
      <c r="AX488" s="85"/>
      <c r="AY488" s="84"/>
      <c r="AZ488" s="84"/>
      <c r="BA488" s="131"/>
      <c r="BB488" s="84"/>
      <c r="BE488" s="84"/>
      <c r="BI488" s="86"/>
      <c r="BO488" s="84"/>
      <c r="BT488" s="84"/>
      <c r="BY488" s="84"/>
      <c r="CD488" s="84"/>
      <c r="CI488" s="128"/>
      <c r="CJ488" s="129"/>
      <c r="CL488" s="132"/>
      <c r="CM488" s="128"/>
      <c r="CN488" s="129"/>
      <c r="CP488" s="132"/>
      <c r="CQ488" s="128"/>
      <c r="CR488" s="129"/>
      <c r="CT488" s="132"/>
      <c r="CU488" s="128"/>
      <c r="CV488" s="129"/>
      <c r="CX488" s="132"/>
      <c r="CY488" s="128"/>
      <c r="CZ488" s="129"/>
      <c r="DB488" s="132"/>
      <c r="DC488" s="128"/>
      <c r="DD488" s="129"/>
      <c r="DF488" s="132"/>
      <c r="DG488" s="85"/>
      <c r="DH488" s="85"/>
      <c r="DI488" s="84"/>
      <c r="DK488" s="84"/>
      <c r="DP488" s="84"/>
      <c r="DU488" s="84"/>
      <c r="DY488" s="84"/>
      <c r="EC488" s="84"/>
      <c r="EG488" s="84"/>
      <c r="EK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128"/>
      <c r="AA489" s="129"/>
      <c r="AC489" s="130"/>
      <c r="AD489" s="128"/>
      <c r="AE489" s="129"/>
      <c r="AG489" s="130"/>
      <c r="AH489" s="128"/>
      <c r="AI489" s="129"/>
      <c r="AK489" s="130"/>
      <c r="AL489" s="128"/>
      <c r="AM489" s="129"/>
      <c r="AO489" s="130"/>
      <c r="AP489" s="128"/>
      <c r="AQ489" s="129"/>
      <c r="AS489" s="130"/>
      <c r="AT489" s="128"/>
      <c r="AU489" s="129"/>
      <c r="AW489" s="130"/>
      <c r="AX489" s="85"/>
      <c r="AY489" s="84"/>
      <c r="AZ489" s="84"/>
      <c r="BA489" s="131"/>
      <c r="BB489" s="84"/>
      <c r="BE489" s="84"/>
      <c r="BI489" s="86"/>
      <c r="BO489" s="84"/>
      <c r="BT489" s="84"/>
      <c r="BY489" s="84"/>
      <c r="CD489" s="84"/>
      <c r="CI489" s="128"/>
      <c r="CJ489" s="129"/>
      <c r="CL489" s="132"/>
      <c r="CM489" s="128"/>
      <c r="CN489" s="129"/>
      <c r="CP489" s="132"/>
      <c r="CQ489" s="128"/>
      <c r="CR489" s="129"/>
      <c r="CT489" s="132"/>
      <c r="CU489" s="128"/>
      <c r="CV489" s="129"/>
      <c r="CX489" s="132"/>
      <c r="CY489" s="128"/>
      <c r="CZ489" s="129"/>
      <c r="DB489" s="132"/>
      <c r="DC489" s="128"/>
      <c r="DD489" s="129"/>
      <c r="DF489" s="132"/>
      <c r="DG489" s="85"/>
      <c r="DH489" s="85"/>
      <c r="DI489" s="84"/>
      <c r="DK489" s="84"/>
      <c r="DP489" s="84"/>
      <c r="DU489" s="84"/>
      <c r="DY489" s="84"/>
      <c r="EC489" s="84"/>
      <c r="EG489" s="84"/>
      <c r="EK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128"/>
      <c r="AA490" s="129"/>
      <c r="AC490" s="130"/>
      <c r="AD490" s="128"/>
      <c r="AE490" s="129"/>
      <c r="AG490" s="130"/>
      <c r="AH490" s="128"/>
      <c r="AI490" s="129"/>
      <c r="AK490" s="130"/>
      <c r="AL490" s="128"/>
      <c r="AM490" s="129"/>
      <c r="AO490" s="130"/>
      <c r="AP490" s="128"/>
      <c r="AQ490" s="129"/>
      <c r="AS490" s="130"/>
      <c r="AT490" s="128"/>
      <c r="AU490" s="129"/>
      <c r="AW490" s="130"/>
      <c r="AX490" s="85"/>
      <c r="AY490" s="84"/>
      <c r="AZ490" s="84"/>
      <c r="BA490" s="131"/>
      <c r="BB490" s="84"/>
      <c r="BE490" s="84"/>
      <c r="BI490" s="86"/>
      <c r="BO490" s="84"/>
      <c r="BT490" s="84"/>
      <c r="BY490" s="84"/>
      <c r="CD490" s="84"/>
      <c r="CI490" s="128"/>
      <c r="CJ490" s="129"/>
      <c r="CL490" s="132"/>
      <c r="CM490" s="128"/>
      <c r="CN490" s="129"/>
      <c r="CP490" s="132"/>
      <c r="CQ490" s="128"/>
      <c r="CR490" s="129"/>
      <c r="CT490" s="132"/>
      <c r="CU490" s="128"/>
      <c r="CV490" s="129"/>
      <c r="CX490" s="132"/>
      <c r="CY490" s="128"/>
      <c r="CZ490" s="129"/>
      <c r="DB490" s="132"/>
      <c r="DC490" s="128"/>
      <c r="DD490" s="129"/>
      <c r="DF490" s="132"/>
      <c r="DG490" s="85"/>
      <c r="DH490" s="85"/>
      <c r="DI490" s="84"/>
      <c r="DK490" s="84"/>
      <c r="DP490" s="84"/>
      <c r="DU490" s="84"/>
      <c r="DY490" s="84"/>
      <c r="EC490" s="84"/>
      <c r="EG490" s="84"/>
      <c r="EK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128"/>
      <c r="AA491" s="129"/>
      <c r="AC491" s="130"/>
      <c r="AD491" s="128"/>
      <c r="AE491" s="129"/>
      <c r="AG491" s="130"/>
      <c r="AH491" s="128"/>
      <c r="AI491" s="129"/>
      <c r="AK491" s="130"/>
      <c r="AL491" s="128"/>
      <c r="AM491" s="129"/>
      <c r="AO491" s="130"/>
      <c r="AP491" s="128"/>
      <c r="AQ491" s="129"/>
      <c r="AS491" s="130"/>
      <c r="AT491" s="128"/>
      <c r="AU491" s="129"/>
      <c r="AW491" s="130"/>
      <c r="AX491" s="85"/>
      <c r="AY491" s="84"/>
      <c r="AZ491" s="84"/>
      <c r="BA491" s="131"/>
      <c r="BB491" s="84"/>
      <c r="BE491" s="84"/>
      <c r="BI491" s="86"/>
      <c r="BO491" s="84"/>
      <c r="BT491" s="84"/>
      <c r="BY491" s="84"/>
      <c r="CD491" s="84"/>
      <c r="CI491" s="128"/>
      <c r="CJ491" s="129"/>
      <c r="CL491" s="132"/>
      <c r="CM491" s="128"/>
      <c r="CN491" s="129"/>
      <c r="CP491" s="132"/>
      <c r="CQ491" s="128"/>
      <c r="CR491" s="129"/>
      <c r="CT491" s="132"/>
      <c r="CU491" s="128"/>
      <c r="CV491" s="129"/>
      <c r="CX491" s="132"/>
      <c r="CY491" s="128"/>
      <c r="CZ491" s="129"/>
      <c r="DB491" s="132"/>
      <c r="DC491" s="128"/>
      <c r="DD491" s="129"/>
      <c r="DF491" s="132"/>
      <c r="DG491" s="85"/>
      <c r="DH491" s="85"/>
      <c r="DI491" s="84"/>
      <c r="DK491" s="84"/>
      <c r="DP491" s="84"/>
      <c r="DU491" s="84"/>
      <c r="DY491" s="84"/>
      <c r="EC491" s="84"/>
      <c r="EG491" s="84"/>
      <c r="EK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128"/>
      <c r="AA492" s="129"/>
      <c r="AC492" s="130"/>
      <c r="AD492" s="128"/>
      <c r="AE492" s="129"/>
      <c r="AG492" s="130"/>
      <c r="AH492" s="128"/>
      <c r="AI492" s="129"/>
      <c r="AK492" s="130"/>
      <c r="AL492" s="128"/>
      <c r="AM492" s="129"/>
      <c r="AO492" s="130"/>
      <c r="AP492" s="128"/>
      <c r="AQ492" s="129"/>
      <c r="AS492" s="130"/>
      <c r="AT492" s="128"/>
      <c r="AU492" s="129"/>
      <c r="AW492" s="130"/>
      <c r="AX492" s="85"/>
      <c r="AY492" s="84"/>
      <c r="AZ492" s="84"/>
      <c r="BA492" s="131"/>
      <c r="BB492" s="84"/>
      <c r="BE492" s="84"/>
      <c r="BI492" s="86"/>
      <c r="BO492" s="84"/>
      <c r="BT492" s="84"/>
      <c r="BY492" s="84"/>
      <c r="CD492" s="84"/>
      <c r="CI492" s="128"/>
      <c r="CJ492" s="129"/>
      <c r="CL492" s="132"/>
      <c r="CM492" s="128"/>
      <c r="CN492" s="129"/>
      <c r="CP492" s="132"/>
      <c r="CQ492" s="128"/>
      <c r="CR492" s="129"/>
      <c r="CT492" s="132"/>
      <c r="CU492" s="128"/>
      <c r="CV492" s="129"/>
      <c r="CX492" s="132"/>
      <c r="CY492" s="128"/>
      <c r="CZ492" s="129"/>
      <c r="DB492" s="132"/>
      <c r="DC492" s="128"/>
      <c r="DD492" s="129"/>
      <c r="DF492" s="132"/>
      <c r="DG492" s="85"/>
      <c r="DH492" s="85"/>
      <c r="DI492" s="84"/>
      <c r="DK492" s="84"/>
      <c r="DP492" s="84"/>
      <c r="DU492" s="84"/>
      <c r="DY492" s="84"/>
      <c r="EC492" s="84"/>
      <c r="EG492" s="84"/>
      <c r="EK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128"/>
      <c r="AA493" s="129"/>
      <c r="AC493" s="130"/>
      <c r="AD493" s="128"/>
      <c r="AE493" s="129"/>
      <c r="AG493" s="130"/>
      <c r="AH493" s="128"/>
      <c r="AI493" s="129"/>
      <c r="AK493" s="130"/>
      <c r="AL493" s="128"/>
      <c r="AM493" s="129"/>
      <c r="AO493" s="130"/>
      <c r="AP493" s="128"/>
      <c r="AQ493" s="129"/>
      <c r="AS493" s="130"/>
      <c r="AT493" s="128"/>
      <c r="AU493" s="129"/>
      <c r="AW493" s="130"/>
      <c r="AX493" s="85"/>
      <c r="AY493" s="84"/>
      <c r="AZ493" s="84"/>
      <c r="BA493" s="131"/>
      <c r="BB493" s="84"/>
      <c r="BE493" s="84"/>
      <c r="BI493" s="86"/>
      <c r="BO493" s="84"/>
      <c r="BT493" s="84"/>
      <c r="BY493" s="84"/>
      <c r="CD493" s="84"/>
      <c r="CI493" s="128"/>
      <c r="CJ493" s="129"/>
      <c r="CL493" s="132"/>
      <c r="CM493" s="128"/>
      <c r="CN493" s="129"/>
      <c r="CP493" s="132"/>
      <c r="CQ493" s="128"/>
      <c r="CR493" s="129"/>
      <c r="CT493" s="132"/>
      <c r="CU493" s="128"/>
      <c r="CV493" s="129"/>
      <c r="CX493" s="132"/>
      <c r="CY493" s="128"/>
      <c r="CZ493" s="129"/>
      <c r="DB493" s="132"/>
      <c r="DC493" s="128"/>
      <c r="DD493" s="129"/>
      <c r="DF493" s="132"/>
      <c r="DG493" s="85"/>
      <c r="DH493" s="85"/>
      <c r="DI493" s="84"/>
      <c r="DK493" s="84"/>
      <c r="DP493" s="84"/>
      <c r="DU493" s="84"/>
      <c r="DY493" s="84"/>
      <c r="EC493" s="84"/>
      <c r="EG493" s="84"/>
      <c r="EK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128"/>
      <c r="AA494" s="129"/>
      <c r="AC494" s="130"/>
      <c r="AD494" s="128"/>
      <c r="AE494" s="129"/>
      <c r="AG494" s="130"/>
      <c r="AH494" s="128"/>
      <c r="AI494" s="129"/>
      <c r="AK494" s="130"/>
      <c r="AL494" s="128"/>
      <c r="AM494" s="129"/>
      <c r="AO494" s="130"/>
      <c r="AP494" s="128"/>
      <c r="AQ494" s="129"/>
      <c r="AS494" s="130"/>
      <c r="AT494" s="128"/>
      <c r="AU494" s="129"/>
      <c r="AW494" s="130"/>
      <c r="AX494" s="85"/>
      <c r="AY494" s="84"/>
      <c r="AZ494" s="84"/>
      <c r="BA494" s="131"/>
      <c r="BB494" s="84"/>
      <c r="BE494" s="84"/>
      <c r="BI494" s="86"/>
      <c r="BO494" s="84"/>
      <c r="BT494" s="84"/>
      <c r="BY494" s="84"/>
      <c r="CD494" s="84"/>
      <c r="CI494" s="128"/>
      <c r="CJ494" s="129"/>
      <c r="CL494" s="132"/>
      <c r="CM494" s="128"/>
      <c r="CN494" s="129"/>
      <c r="CP494" s="132"/>
      <c r="CQ494" s="128"/>
      <c r="CR494" s="129"/>
      <c r="CT494" s="132"/>
      <c r="CU494" s="128"/>
      <c r="CV494" s="129"/>
      <c r="CX494" s="132"/>
      <c r="CY494" s="128"/>
      <c r="CZ494" s="129"/>
      <c r="DB494" s="132"/>
      <c r="DC494" s="128"/>
      <c r="DD494" s="129"/>
      <c r="DF494" s="132"/>
      <c r="DG494" s="85"/>
      <c r="DH494" s="85"/>
      <c r="DI494" s="84"/>
      <c r="DK494" s="84"/>
      <c r="DP494" s="84"/>
      <c r="DU494" s="84"/>
      <c r="DY494" s="84"/>
      <c r="EC494" s="84"/>
      <c r="EG494" s="84"/>
      <c r="EK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128"/>
      <c r="AA495" s="129"/>
      <c r="AC495" s="130"/>
      <c r="AD495" s="128"/>
      <c r="AE495" s="129"/>
      <c r="AG495" s="130"/>
      <c r="AH495" s="128"/>
      <c r="AI495" s="129"/>
      <c r="AK495" s="130"/>
      <c r="AL495" s="128"/>
      <c r="AM495" s="129"/>
      <c r="AO495" s="130"/>
      <c r="AP495" s="128"/>
      <c r="AQ495" s="129"/>
      <c r="AS495" s="130"/>
      <c r="AT495" s="128"/>
      <c r="AU495" s="129"/>
      <c r="AW495" s="130"/>
      <c r="AX495" s="85"/>
      <c r="AY495" s="84"/>
      <c r="AZ495" s="84"/>
      <c r="BA495" s="131"/>
      <c r="BB495" s="84"/>
      <c r="BE495" s="84"/>
      <c r="BI495" s="86"/>
      <c r="BO495" s="84"/>
      <c r="BT495" s="84"/>
      <c r="BY495" s="84"/>
      <c r="CD495" s="84"/>
      <c r="CI495" s="128"/>
      <c r="CJ495" s="129"/>
      <c r="CL495" s="132"/>
      <c r="CM495" s="128"/>
      <c r="CN495" s="129"/>
      <c r="CP495" s="132"/>
      <c r="CQ495" s="128"/>
      <c r="CR495" s="129"/>
      <c r="CT495" s="132"/>
      <c r="CU495" s="128"/>
      <c r="CV495" s="129"/>
      <c r="CX495" s="132"/>
      <c r="CY495" s="128"/>
      <c r="CZ495" s="129"/>
      <c r="DB495" s="132"/>
      <c r="DC495" s="128"/>
      <c r="DD495" s="129"/>
      <c r="DF495" s="132"/>
      <c r="DG495" s="85"/>
      <c r="DH495" s="85"/>
      <c r="DI495" s="84"/>
      <c r="DK495" s="84"/>
      <c r="DP495" s="84"/>
      <c r="DU495" s="84"/>
      <c r="DY495" s="84"/>
      <c r="EC495" s="84"/>
      <c r="EG495" s="84"/>
      <c r="EK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128"/>
      <c r="AA496" s="129"/>
      <c r="AC496" s="130"/>
      <c r="AD496" s="128"/>
      <c r="AE496" s="129"/>
      <c r="AG496" s="130"/>
      <c r="AH496" s="128"/>
      <c r="AI496" s="129"/>
      <c r="AK496" s="130"/>
      <c r="AL496" s="128"/>
      <c r="AM496" s="129"/>
      <c r="AO496" s="130"/>
      <c r="AP496" s="128"/>
      <c r="AQ496" s="129"/>
      <c r="AS496" s="130"/>
      <c r="AT496" s="128"/>
      <c r="AU496" s="129"/>
      <c r="AW496" s="130"/>
      <c r="AX496" s="85"/>
      <c r="AY496" s="84"/>
      <c r="AZ496" s="84"/>
      <c r="BA496" s="131"/>
      <c r="BB496" s="84"/>
      <c r="BE496" s="84"/>
      <c r="BI496" s="86"/>
      <c r="BO496" s="84"/>
      <c r="BT496" s="84"/>
      <c r="BY496" s="84"/>
      <c r="CD496" s="84"/>
      <c r="CI496" s="128"/>
      <c r="CJ496" s="129"/>
      <c r="CL496" s="132"/>
      <c r="CM496" s="128"/>
      <c r="CN496" s="129"/>
      <c r="CP496" s="132"/>
      <c r="CQ496" s="128"/>
      <c r="CR496" s="129"/>
      <c r="CT496" s="132"/>
      <c r="CU496" s="128"/>
      <c r="CV496" s="129"/>
      <c r="CX496" s="132"/>
      <c r="CY496" s="128"/>
      <c r="CZ496" s="129"/>
      <c r="DB496" s="132"/>
      <c r="DC496" s="128"/>
      <c r="DD496" s="129"/>
      <c r="DF496" s="132"/>
      <c r="DG496" s="85"/>
      <c r="DH496" s="85"/>
      <c r="DI496" s="84"/>
      <c r="DK496" s="84"/>
      <c r="DP496" s="84"/>
      <c r="DU496" s="84"/>
      <c r="DY496" s="84"/>
      <c r="EC496" s="84"/>
      <c r="EG496" s="84"/>
      <c r="EK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128"/>
      <c r="AA497" s="129"/>
      <c r="AC497" s="130"/>
      <c r="AD497" s="128"/>
      <c r="AE497" s="129"/>
      <c r="AG497" s="130"/>
      <c r="AH497" s="128"/>
      <c r="AI497" s="129"/>
      <c r="AK497" s="130"/>
      <c r="AL497" s="128"/>
      <c r="AM497" s="129"/>
      <c r="AO497" s="130"/>
      <c r="AP497" s="128"/>
      <c r="AQ497" s="129"/>
      <c r="AS497" s="130"/>
      <c r="AT497" s="128"/>
      <c r="AU497" s="129"/>
      <c r="AW497" s="130"/>
      <c r="AX497" s="85"/>
      <c r="AY497" s="84"/>
      <c r="AZ497" s="84"/>
      <c r="BA497" s="131"/>
      <c r="BB497" s="84"/>
      <c r="BE497" s="84"/>
      <c r="BI497" s="86"/>
      <c r="BO497" s="84"/>
      <c r="BT497" s="84"/>
      <c r="BY497" s="84"/>
      <c r="CD497" s="84"/>
      <c r="CI497" s="128"/>
      <c r="CJ497" s="129"/>
      <c r="CL497" s="132"/>
      <c r="CM497" s="128"/>
      <c r="CN497" s="129"/>
      <c r="CP497" s="132"/>
      <c r="CQ497" s="128"/>
      <c r="CR497" s="129"/>
      <c r="CT497" s="132"/>
      <c r="CU497" s="128"/>
      <c r="CV497" s="129"/>
      <c r="CX497" s="132"/>
      <c r="CY497" s="128"/>
      <c r="CZ497" s="129"/>
      <c r="DB497" s="132"/>
      <c r="DC497" s="128"/>
      <c r="DD497" s="129"/>
      <c r="DF497" s="132"/>
      <c r="DG497" s="85"/>
      <c r="DH497" s="85"/>
      <c r="DI497" s="84"/>
      <c r="DK497" s="84"/>
      <c r="DP497" s="84"/>
      <c r="DU497" s="84"/>
      <c r="DY497" s="84"/>
      <c r="EC497" s="84"/>
      <c r="EG497" s="84"/>
      <c r="EK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128"/>
      <c r="AA498" s="129"/>
      <c r="AC498" s="130"/>
      <c r="AD498" s="128"/>
      <c r="AE498" s="129"/>
      <c r="AG498" s="130"/>
      <c r="AH498" s="128"/>
      <c r="AI498" s="129"/>
      <c r="AK498" s="130"/>
      <c r="AL498" s="128"/>
      <c r="AM498" s="129"/>
      <c r="AO498" s="130"/>
      <c r="AP498" s="128"/>
      <c r="AQ498" s="129"/>
      <c r="AS498" s="130"/>
      <c r="AT498" s="128"/>
      <c r="AU498" s="129"/>
      <c r="AW498" s="130"/>
      <c r="AX498" s="85"/>
      <c r="AY498" s="84"/>
      <c r="AZ498" s="84"/>
      <c r="BA498" s="131"/>
      <c r="BB498" s="84"/>
      <c r="BE498" s="84"/>
      <c r="BI498" s="86"/>
      <c r="BO498" s="84"/>
      <c r="BT498" s="84"/>
      <c r="BY498" s="84"/>
      <c r="CD498" s="84"/>
      <c r="CI498" s="128"/>
      <c r="CJ498" s="129"/>
      <c r="CL498" s="132"/>
      <c r="CM498" s="128"/>
      <c r="CN498" s="129"/>
      <c r="CP498" s="132"/>
      <c r="CQ498" s="128"/>
      <c r="CR498" s="129"/>
      <c r="CT498" s="132"/>
      <c r="CU498" s="128"/>
      <c r="CV498" s="129"/>
      <c r="CX498" s="132"/>
      <c r="CY498" s="128"/>
      <c r="CZ498" s="129"/>
      <c r="DB498" s="132"/>
      <c r="DC498" s="128"/>
      <c r="DD498" s="129"/>
      <c r="DF498" s="132"/>
      <c r="DG498" s="85"/>
      <c r="DH498" s="85"/>
      <c r="DI498" s="84"/>
      <c r="DK498" s="84"/>
      <c r="DP498" s="84"/>
      <c r="DU498" s="84"/>
      <c r="DY498" s="84"/>
      <c r="EC498" s="84"/>
      <c r="EG498" s="84"/>
      <c r="EK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128"/>
      <c r="AA499" s="129"/>
      <c r="AC499" s="130"/>
      <c r="AD499" s="128"/>
      <c r="AE499" s="129"/>
      <c r="AG499" s="130"/>
      <c r="AH499" s="128"/>
      <c r="AI499" s="129"/>
      <c r="AK499" s="130"/>
      <c r="AL499" s="128"/>
      <c r="AM499" s="129"/>
      <c r="AO499" s="130"/>
      <c r="AP499" s="128"/>
      <c r="AQ499" s="129"/>
      <c r="AS499" s="130"/>
      <c r="AT499" s="128"/>
      <c r="AU499" s="129"/>
      <c r="AW499" s="130"/>
      <c r="AX499" s="85"/>
      <c r="AY499" s="84"/>
      <c r="AZ499" s="84"/>
      <c r="BA499" s="131"/>
      <c r="BB499" s="84"/>
      <c r="BE499" s="84"/>
      <c r="BI499" s="86"/>
      <c r="BO499" s="84"/>
      <c r="BT499" s="84"/>
      <c r="BY499" s="84"/>
      <c r="CD499" s="84"/>
      <c r="CI499" s="128"/>
      <c r="CJ499" s="129"/>
      <c r="CL499" s="132"/>
      <c r="CM499" s="128"/>
      <c r="CN499" s="129"/>
      <c r="CP499" s="132"/>
      <c r="CQ499" s="128"/>
      <c r="CR499" s="129"/>
      <c r="CT499" s="132"/>
      <c r="CU499" s="128"/>
      <c r="CV499" s="129"/>
      <c r="CX499" s="132"/>
      <c r="CY499" s="128"/>
      <c r="CZ499" s="129"/>
      <c r="DB499" s="132"/>
      <c r="DC499" s="128"/>
      <c r="DD499" s="129"/>
      <c r="DF499" s="132"/>
      <c r="DG499" s="85"/>
      <c r="DH499" s="85"/>
      <c r="DI499" s="84"/>
      <c r="DK499" s="84"/>
      <c r="DP499" s="84"/>
      <c r="DU499" s="84"/>
      <c r="DY499" s="84"/>
      <c r="EC499" s="84"/>
      <c r="EG499" s="84"/>
      <c r="EK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128"/>
      <c r="AA500" s="129"/>
      <c r="AC500" s="130"/>
      <c r="AD500" s="128"/>
      <c r="AE500" s="129"/>
      <c r="AG500" s="130"/>
      <c r="AH500" s="128"/>
      <c r="AI500" s="129"/>
      <c r="AK500" s="130"/>
      <c r="AL500" s="128"/>
      <c r="AM500" s="129"/>
      <c r="AO500" s="130"/>
      <c r="AP500" s="128"/>
      <c r="AQ500" s="129"/>
      <c r="AS500" s="130"/>
      <c r="AT500" s="128"/>
      <c r="AU500" s="129"/>
      <c r="AW500" s="130"/>
      <c r="AX500" s="85"/>
      <c r="AY500" s="84"/>
      <c r="AZ500" s="84"/>
      <c r="BA500" s="131"/>
      <c r="BB500" s="84"/>
      <c r="BE500" s="84"/>
      <c r="BI500" s="86"/>
      <c r="BO500" s="84"/>
      <c r="BT500" s="84"/>
      <c r="BY500" s="84"/>
      <c r="CD500" s="84"/>
      <c r="CI500" s="128"/>
      <c r="CJ500" s="129"/>
      <c r="CL500" s="132"/>
      <c r="CM500" s="128"/>
      <c r="CN500" s="129"/>
      <c r="CP500" s="132"/>
      <c r="CQ500" s="128"/>
      <c r="CR500" s="129"/>
      <c r="CT500" s="132"/>
      <c r="CU500" s="128"/>
      <c r="CV500" s="129"/>
      <c r="CX500" s="132"/>
      <c r="CY500" s="128"/>
      <c r="CZ500" s="129"/>
      <c r="DB500" s="132"/>
      <c r="DC500" s="128"/>
      <c r="DD500" s="129"/>
      <c r="DF500" s="132"/>
      <c r="DG500" s="85"/>
      <c r="DH500" s="85"/>
      <c r="DI500" s="84"/>
      <c r="DK500" s="84"/>
      <c r="DP500" s="84"/>
      <c r="DU500" s="84"/>
      <c r="DY500" s="84"/>
      <c r="EC500" s="84"/>
      <c r="EG500" s="84"/>
      <c r="EK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128"/>
      <c r="AA501" s="129"/>
      <c r="AC501" s="130"/>
      <c r="AD501" s="128"/>
      <c r="AE501" s="129"/>
      <c r="AG501" s="130"/>
      <c r="AH501" s="128"/>
      <c r="AI501" s="129"/>
      <c r="AK501" s="130"/>
      <c r="AL501" s="128"/>
      <c r="AM501" s="129"/>
      <c r="AO501" s="130"/>
      <c r="AP501" s="128"/>
      <c r="AQ501" s="129"/>
      <c r="AS501" s="130"/>
      <c r="AT501" s="128"/>
      <c r="AU501" s="129"/>
      <c r="AW501" s="130"/>
      <c r="AX501" s="85"/>
      <c r="AY501" s="84"/>
      <c r="AZ501" s="84"/>
      <c r="BA501" s="131"/>
      <c r="BB501" s="84"/>
      <c r="BE501" s="84"/>
      <c r="BI501" s="86"/>
      <c r="BO501" s="84"/>
      <c r="BT501" s="84"/>
      <c r="BY501" s="84"/>
      <c r="CD501" s="84"/>
      <c r="CI501" s="128"/>
      <c r="CJ501" s="129"/>
      <c r="CL501" s="132"/>
      <c r="CM501" s="128"/>
      <c r="CN501" s="129"/>
      <c r="CP501" s="132"/>
      <c r="CQ501" s="128"/>
      <c r="CR501" s="129"/>
      <c r="CT501" s="132"/>
      <c r="CU501" s="128"/>
      <c r="CV501" s="129"/>
      <c r="CX501" s="132"/>
      <c r="CY501" s="128"/>
      <c r="CZ501" s="129"/>
      <c r="DB501" s="132"/>
      <c r="DC501" s="128"/>
      <c r="DD501" s="129"/>
      <c r="DF501" s="132"/>
      <c r="DG501" s="85"/>
      <c r="DH501" s="85"/>
      <c r="DI501" s="84"/>
      <c r="DK501" s="84"/>
      <c r="DP501" s="84"/>
      <c r="DU501" s="84"/>
      <c r="DY501" s="84"/>
      <c r="EC501" s="84"/>
      <c r="EG501" s="84"/>
      <c r="EK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128"/>
      <c r="AA502" s="129"/>
      <c r="AC502" s="130"/>
      <c r="AD502" s="128"/>
      <c r="AE502" s="129"/>
      <c r="AG502" s="130"/>
      <c r="AH502" s="128"/>
      <c r="AI502" s="129"/>
      <c r="AK502" s="130"/>
      <c r="AL502" s="128"/>
      <c r="AM502" s="129"/>
      <c r="AO502" s="130"/>
      <c r="AP502" s="128"/>
      <c r="AQ502" s="129"/>
      <c r="AS502" s="130"/>
      <c r="AT502" s="128"/>
      <c r="AU502" s="129"/>
      <c r="AW502" s="130"/>
      <c r="AX502" s="85"/>
      <c r="AY502" s="84"/>
      <c r="AZ502" s="84"/>
      <c r="BA502" s="131"/>
      <c r="BB502" s="84"/>
      <c r="BE502" s="84"/>
      <c r="BI502" s="86"/>
      <c r="BO502" s="84"/>
      <c r="BT502" s="84"/>
      <c r="BY502" s="84"/>
      <c r="CD502" s="84"/>
      <c r="CI502" s="128"/>
      <c r="CJ502" s="129"/>
      <c r="CL502" s="132"/>
      <c r="CM502" s="128"/>
      <c r="CN502" s="129"/>
      <c r="CP502" s="132"/>
      <c r="CQ502" s="128"/>
      <c r="CR502" s="129"/>
      <c r="CT502" s="132"/>
      <c r="CU502" s="128"/>
      <c r="CV502" s="129"/>
      <c r="CX502" s="132"/>
      <c r="CY502" s="128"/>
      <c r="CZ502" s="129"/>
      <c r="DB502" s="132"/>
      <c r="DC502" s="128"/>
      <c r="DD502" s="129"/>
      <c r="DF502" s="132"/>
      <c r="DG502" s="85"/>
      <c r="DH502" s="85"/>
      <c r="DI502" s="84"/>
      <c r="DK502" s="84"/>
      <c r="DP502" s="84"/>
      <c r="DU502" s="84"/>
      <c r="DY502" s="84"/>
      <c r="EC502" s="84"/>
      <c r="EG502" s="84"/>
      <c r="EK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128"/>
      <c r="AA503" s="129"/>
      <c r="AC503" s="130"/>
      <c r="AD503" s="128"/>
      <c r="AE503" s="129"/>
      <c r="AG503" s="130"/>
      <c r="AH503" s="128"/>
      <c r="AI503" s="129"/>
      <c r="AK503" s="130"/>
      <c r="AL503" s="128"/>
      <c r="AM503" s="129"/>
      <c r="AO503" s="130"/>
      <c r="AP503" s="128"/>
      <c r="AQ503" s="129"/>
      <c r="AS503" s="130"/>
      <c r="AT503" s="128"/>
      <c r="AU503" s="129"/>
      <c r="AW503" s="130"/>
      <c r="AX503" s="85"/>
      <c r="AY503" s="84"/>
      <c r="AZ503" s="84"/>
      <c r="BA503" s="131"/>
      <c r="BB503" s="84"/>
      <c r="BE503" s="84"/>
      <c r="BI503" s="86"/>
      <c r="BO503" s="84"/>
      <c r="BT503" s="84"/>
      <c r="BY503" s="84"/>
      <c r="CD503" s="84"/>
      <c r="CI503" s="128"/>
      <c r="CJ503" s="129"/>
      <c r="CL503" s="132"/>
      <c r="CM503" s="128"/>
      <c r="CN503" s="129"/>
      <c r="CP503" s="132"/>
      <c r="CQ503" s="128"/>
      <c r="CR503" s="129"/>
      <c r="CT503" s="132"/>
      <c r="CU503" s="128"/>
      <c r="CV503" s="129"/>
      <c r="CX503" s="132"/>
      <c r="CY503" s="128"/>
      <c r="CZ503" s="129"/>
      <c r="DB503" s="132"/>
      <c r="DC503" s="128"/>
      <c r="DD503" s="129"/>
      <c r="DF503" s="132"/>
      <c r="DG503" s="85"/>
      <c r="DH503" s="85"/>
      <c r="DI503" s="84"/>
      <c r="DK503" s="84"/>
      <c r="DP503" s="84"/>
      <c r="DU503" s="84"/>
      <c r="DY503" s="84"/>
      <c r="EC503" s="84"/>
      <c r="EG503" s="84"/>
      <c r="EK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128"/>
      <c r="AA504" s="129"/>
      <c r="AC504" s="130"/>
      <c r="AD504" s="128"/>
      <c r="AE504" s="129"/>
      <c r="AG504" s="130"/>
      <c r="AH504" s="128"/>
      <c r="AI504" s="129"/>
      <c r="AK504" s="130"/>
      <c r="AL504" s="128"/>
      <c r="AM504" s="129"/>
      <c r="AO504" s="130"/>
      <c r="AP504" s="128"/>
      <c r="AQ504" s="129"/>
      <c r="AS504" s="130"/>
      <c r="AT504" s="128"/>
      <c r="AU504" s="129"/>
      <c r="AW504" s="130"/>
      <c r="AX504" s="85"/>
      <c r="AY504" s="84"/>
      <c r="AZ504" s="84"/>
      <c r="BA504" s="131"/>
      <c r="BB504" s="84"/>
      <c r="BE504" s="84"/>
      <c r="BI504" s="86"/>
      <c r="BO504" s="84"/>
      <c r="BT504" s="84"/>
      <c r="BY504" s="84"/>
      <c r="CD504" s="84"/>
      <c r="CI504" s="128"/>
      <c r="CJ504" s="129"/>
      <c r="CL504" s="132"/>
      <c r="CM504" s="128"/>
      <c r="CN504" s="129"/>
      <c r="CP504" s="132"/>
      <c r="CQ504" s="128"/>
      <c r="CR504" s="129"/>
      <c r="CT504" s="132"/>
      <c r="CU504" s="128"/>
      <c r="CV504" s="129"/>
      <c r="CX504" s="132"/>
      <c r="CY504" s="128"/>
      <c r="CZ504" s="129"/>
      <c r="DB504" s="132"/>
      <c r="DC504" s="128"/>
      <c r="DD504" s="129"/>
      <c r="DF504" s="132"/>
      <c r="DG504" s="85"/>
      <c r="DH504" s="85"/>
      <c r="DI504" s="84"/>
      <c r="DK504" s="84"/>
      <c r="DP504" s="84"/>
      <c r="DU504" s="84"/>
      <c r="DY504" s="84"/>
      <c r="EC504" s="84"/>
      <c r="EG504" s="84"/>
      <c r="EK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128"/>
      <c r="AA505" s="129"/>
      <c r="AC505" s="130"/>
      <c r="AD505" s="128"/>
      <c r="AE505" s="129"/>
      <c r="AG505" s="130"/>
      <c r="AH505" s="128"/>
      <c r="AI505" s="129"/>
      <c r="AK505" s="130"/>
      <c r="AL505" s="128"/>
      <c r="AM505" s="129"/>
      <c r="AO505" s="130"/>
      <c r="AP505" s="128"/>
      <c r="AQ505" s="129"/>
      <c r="AS505" s="130"/>
      <c r="AT505" s="128"/>
      <c r="AU505" s="129"/>
      <c r="AW505" s="130"/>
      <c r="AX505" s="85"/>
      <c r="AY505" s="84"/>
      <c r="AZ505" s="84"/>
      <c r="BA505" s="131"/>
      <c r="BB505" s="84"/>
      <c r="BE505" s="84"/>
      <c r="BI505" s="86"/>
      <c r="BO505" s="84"/>
      <c r="BT505" s="84"/>
      <c r="BY505" s="84"/>
      <c r="CD505" s="84"/>
      <c r="CI505" s="128"/>
      <c r="CJ505" s="129"/>
      <c r="CL505" s="132"/>
      <c r="CM505" s="128"/>
      <c r="CN505" s="129"/>
      <c r="CP505" s="132"/>
      <c r="CQ505" s="128"/>
      <c r="CR505" s="129"/>
      <c r="CT505" s="132"/>
      <c r="CU505" s="128"/>
      <c r="CV505" s="129"/>
      <c r="CX505" s="132"/>
      <c r="CY505" s="128"/>
      <c r="CZ505" s="129"/>
      <c r="DB505" s="132"/>
      <c r="DC505" s="128"/>
      <c r="DD505" s="129"/>
      <c r="DF505" s="132"/>
      <c r="DG505" s="85"/>
      <c r="DH505" s="85"/>
      <c r="DI505" s="84"/>
      <c r="DK505" s="84"/>
      <c r="DP505" s="84"/>
      <c r="DU505" s="84"/>
      <c r="DY505" s="84"/>
      <c r="EC505" s="84"/>
      <c r="EG505" s="84"/>
      <c r="EK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128"/>
      <c r="AA506" s="129"/>
      <c r="AC506" s="130"/>
      <c r="AD506" s="128"/>
      <c r="AE506" s="129"/>
      <c r="AG506" s="130"/>
      <c r="AH506" s="128"/>
      <c r="AI506" s="129"/>
      <c r="AK506" s="130"/>
      <c r="AL506" s="128"/>
      <c r="AM506" s="129"/>
      <c r="AO506" s="130"/>
      <c r="AP506" s="128"/>
      <c r="AQ506" s="129"/>
      <c r="AS506" s="130"/>
      <c r="AT506" s="128"/>
      <c r="AU506" s="129"/>
      <c r="AW506" s="130"/>
      <c r="AX506" s="85"/>
      <c r="AY506" s="84"/>
      <c r="AZ506" s="84"/>
      <c r="BA506" s="131"/>
      <c r="BB506" s="84"/>
      <c r="BE506" s="84"/>
      <c r="BI506" s="86"/>
      <c r="BO506" s="84"/>
      <c r="BT506" s="84"/>
      <c r="BY506" s="84"/>
      <c r="CD506" s="84"/>
      <c r="CI506" s="128"/>
      <c r="CJ506" s="129"/>
      <c r="CL506" s="132"/>
      <c r="CM506" s="128"/>
      <c r="CN506" s="129"/>
      <c r="CP506" s="132"/>
      <c r="CQ506" s="128"/>
      <c r="CR506" s="129"/>
      <c r="CT506" s="132"/>
      <c r="CU506" s="128"/>
      <c r="CV506" s="129"/>
      <c r="CX506" s="132"/>
      <c r="CY506" s="128"/>
      <c r="CZ506" s="129"/>
      <c r="DB506" s="132"/>
      <c r="DC506" s="128"/>
      <c r="DD506" s="129"/>
      <c r="DF506" s="132"/>
      <c r="DG506" s="85"/>
      <c r="DH506" s="85"/>
      <c r="DI506" s="84"/>
      <c r="DK506" s="84"/>
      <c r="DP506" s="84"/>
      <c r="DU506" s="84"/>
      <c r="DY506" s="84"/>
      <c r="EC506" s="84"/>
      <c r="EG506" s="84"/>
      <c r="EK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128"/>
      <c r="AA507" s="129"/>
      <c r="AC507" s="130"/>
      <c r="AD507" s="128"/>
      <c r="AE507" s="129"/>
      <c r="AG507" s="130"/>
      <c r="AH507" s="128"/>
      <c r="AI507" s="129"/>
      <c r="AK507" s="130"/>
      <c r="AL507" s="128"/>
      <c r="AM507" s="129"/>
      <c r="AO507" s="130"/>
      <c r="AP507" s="128"/>
      <c r="AQ507" s="129"/>
      <c r="AS507" s="130"/>
      <c r="AT507" s="128"/>
      <c r="AU507" s="129"/>
      <c r="AW507" s="130"/>
      <c r="AX507" s="85"/>
      <c r="AY507" s="84"/>
      <c r="AZ507" s="84"/>
      <c r="BA507" s="131"/>
      <c r="BB507" s="84"/>
      <c r="BE507" s="84"/>
      <c r="BI507" s="86"/>
      <c r="BO507" s="84"/>
      <c r="BT507" s="84"/>
      <c r="BY507" s="84"/>
      <c r="CD507" s="84"/>
      <c r="CI507" s="128"/>
      <c r="CJ507" s="129"/>
      <c r="CL507" s="132"/>
      <c r="CM507" s="128"/>
      <c r="CN507" s="129"/>
      <c r="CP507" s="132"/>
      <c r="CQ507" s="128"/>
      <c r="CR507" s="129"/>
      <c r="CT507" s="132"/>
      <c r="CU507" s="128"/>
      <c r="CV507" s="129"/>
      <c r="CX507" s="132"/>
      <c r="CY507" s="128"/>
      <c r="CZ507" s="129"/>
      <c r="DB507" s="132"/>
      <c r="DC507" s="128"/>
      <c r="DD507" s="129"/>
      <c r="DF507" s="132"/>
      <c r="DG507" s="85"/>
      <c r="DH507" s="85"/>
      <c r="DI507" s="84"/>
      <c r="DK507" s="84"/>
      <c r="DP507" s="84"/>
      <c r="DU507" s="84"/>
      <c r="DY507" s="84"/>
      <c r="EC507" s="84"/>
      <c r="EG507" s="84"/>
      <c r="EK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128"/>
      <c r="AA508" s="129"/>
      <c r="AC508" s="130"/>
      <c r="AD508" s="128"/>
      <c r="AE508" s="129"/>
      <c r="AG508" s="130"/>
      <c r="AH508" s="128"/>
      <c r="AI508" s="129"/>
      <c r="AK508" s="130"/>
      <c r="AL508" s="128"/>
      <c r="AM508" s="129"/>
      <c r="AO508" s="130"/>
      <c r="AP508" s="128"/>
      <c r="AQ508" s="129"/>
      <c r="AS508" s="130"/>
      <c r="AT508" s="128"/>
      <c r="AU508" s="129"/>
      <c r="AW508" s="130"/>
      <c r="AX508" s="85"/>
      <c r="AY508" s="84"/>
      <c r="AZ508" s="84"/>
      <c r="BA508" s="131"/>
      <c r="BB508" s="84"/>
      <c r="BE508" s="84"/>
      <c r="BI508" s="86"/>
      <c r="BO508" s="84"/>
      <c r="BT508" s="84"/>
      <c r="BY508" s="84"/>
      <c r="CD508" s="84"/>
      <c r="CI508" s="128"/>
      <c r="CJ508" s="129"/>
      <c r="CL508" s="132"/>
      <c r="CM508" s="128"/>
      <c r="CN508" s="129"/>
      <c r="CP508" s="132"/>
      <c r="CQ508" s="128"/>
      <c r="CR508" s="129"/>
      <c r="CT508" s="132"/>
      <c r="CU508" s="128"/>
      <c r="CV508" s="129"/>
      <c r="CX508" s="132"/>
      <c r="CY508" s="128"/>
      <c r="CZ508" s="129"/>
      <c r="DB508" s="132"/>
      <c r="DC508" s="128"/>
      <c r="DD508" s="129"/>
      <c r="DF508" s="132"/>
      <c r="DG508" s="85"/>
      <c r="DH508" s="85"/>
      <c r="DI508" s="84"/>
      <c r="DK508" s="84"/>
      <c r="DP508" s="84"/>
      <c r="DU508" s="84"/>
      <c r="DY508" s="84"/>
      <c r="EC508" s="84"/>
      <c r="EG508" s="84"/>
      <c r="EK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128"/>
      <c r="AA509" s="129"/>
      <c r="AC509" s="130"/>
      <c r="AD509" s="128"/>
      <c r="AE509" s="129"/>
      <c r="AG509" s="130"/>
      <c r="AH509" s="128"/>
      <c r="AI509" s="129"/>
      <c r="AK509" s="130"/>
      <c r="AL509" s="128"/>
      <c r="AM509" s="129"/>
      <c r="AO509" s="130"/>
      <c r="AP509" s="128"/>
      <c r="AQ509" s="129"/>
      <c r="AS509" s="130"/>
      <c r="AT509" s="128"/>
      <c r="AU509" s="129"/>
      <c r="AW509" s="130"/>
      <c r="AX509" s="85"/>
      <c r="AY509" s="84"/>
      <c r="AZ509" s="84"/>
      <c r="BA509" s="131"/>
      <c r="BB509" s="84"/>
      <c r="BE509" s="84"/>
      <c r="BI509" s="86"/>
      <c r="BO509" s="84"/>
      <c r="BT509" s="84"/>
      <c r="BY509" s="84"/>
      <c r="CD509" s="84"/>
      <c r="CI509" s="128"/>
      <c r="CJ509" s="129"/>
      <c r="CL509" s="132"/>
      <c r="CM509" s="128"/>
      <c r="CN509" s="129"/>
      <c r="CP509" s="132"/>
      <c r="CQ509" s="128"/>
      <c r="CR509" s="129"/>
      <c r="CT509" s="132"/>
      <c r="CU509" s="128"/>
      <c r="CV509" s="129"/>
      <c r="CX509" s="132"/>
      <c r="CY509" s="128"/>
      <c r="CZ509" s="129"/>
      <c r="DB509" s="132"/>
      <c r="DC509" s="128"/>
      <c r="DD509" s="129"/>
      <c r="DF509" s="132"/>
      <c r="DG509" s="85"/>
      <c r="DH509" s="85"/>
      <c r="DI509" s="84"/>
      <c r="DK509" s="84"/>
      <c r="DP509" s="84"/>
      <c r="DU509" s="84"/>
      <c r="DY509" s="84"/>
      <c r="EC509" s="84"/>
      <c r="EG509" s="84"/>
      <c r="EK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128"/>
      <c r="AA510" s="129"/>
      <c r="AC510" s="130"/>
      <c r="AD510" s="128"/>
      <c r="AE510" s="129"/>
      <c r="AG510" s="130"/>
      <c r="AH510" s="128"/>
      <c r="AI510" s="129"/>
      <c r="AK510" s="130"/>
      <c r="AL510" s="128"/>
      <c r="AM510" s="129"/>
      <c r="AO510" s="130"/>
      <c r="AP510" s="128"/>
      <c r="AQ510" s="129"/>
      <c r="AS510" s="130"/>
      <c r="AT510" s="128"/>
      <c r="AU510" s="129"/>
      <c r="AW510" s="130"/>
      <c r="AX510" s="85"/>
      <c r="AY510" s="84"/>
      <c r="AZ510" s="84"/>
      <c r="BA510" s="131"/>
      <c r="BB510" s="84"/>
      <c r="BE510" s="84"/>
      <c r="BI510" s="86"/>
      <c r="BO510" s="84"/>
      <c r="BT510" s="84"/>
      <c r="BY510" s="84"/>
      <c r="CD510" s="84"/>
      <c r="CI510" s="128"/>
      <c r="CJ510" s="129"/>
      <c r="CL510" s="132"/>
      <c r="CM510" s="128"/>
      <c r="CN510" s="129"/>
      <c r="CP510" s="132"/>
      <c r="CQ510" s="128"/>
      <c r="CR510" s="129"/>
      <c r="CT510" s="132"/>
      <c r="CU510" s="128"/>
      <c r="CV510" s="129"/>
      <c r="CX510" s="132"/>
      <c r="CY510" s="128"/>
      <c r="CZ510" s="129"/>
      <c r="DB510" s="132"/>
      <c r="DC510" s="128"/>
      <c r="DD510" s="129"/>
      <c r="DF510" s="132"/>
      <c r="DG510" s="85"/>
      <c r="DH510" s="85"/>
      <c r="DI510" s="84"/>
      <c r="DK510" s="84"/>
      <c r="DP510" s="84"/>
      <c r="DU510" s="84"/>
      <c r="DY510" s="84"/>
      <c r="EC510" s="84"/>
      <c r="EG510" s="84"/>
      <c r="EK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128"/>
      <c r="AA511" s="129"/>
      <c r="AC511" s="130"/>
      <c r="AD511" s="128"/>
      <c r="AE511" s="129"/>
      <c r="AG511" s="130"/>
      <c r="AH511" s="128"/>
      <c r="AI511" s="129"/>
      <c r="AK511" s="130"/>
      <c r="AL511" s="128"/>
      <c r="AM511" s="129"/>
      <c r="AO511" s="130"/>
      <c r="AP511" s="128"/>
      <c r="AQ511" s="129"/>
      <c r="AS511" s="130"/>
      <c r="AT511" s="128"/>
      <c r="AU511" s="129"/>
      <c r="AW511" s="130"/>
      <c r="AX511" s="85"/>
      <c r="AY511" s="84"/>
      <c r="AZ511" s="84"/>
      <c r="BA511" s="131"/>
      <c r="BB511" s="84"/>
      <c r="BE511" s="84"/>
      <c r="BI511" s="86"/>
      <c r="BO511" s="84"/>
      <c r="BT511" s="84"/>
      <c r="BY511" s="84"/>
      <c r="CD511" s="84"/>
      <c r="CI511" s="128"/>
      <c r="CJ511" s="129"/>
      <c r="CL511" s="132"/>
      <c r="CM511" s="128"/>
      <c r="CN511" s="129"/>
      <c r="CP511" s="132"/>
      <c r="CQ511" s="128"/>
      <c r="CR511" s="129"/>
      <c r="CT511" s="132"/>
      <c r="CU511" s="128"/>
      <c r="CV511" s="129"/>
      <c r="CX511" s="132"/>
      <c r="CY511" s="128"/>
      <c r="CZ511" s="129"/>
      <c r="DB511" s="132"/>
      <c r="DC511" s="128"/>
      <c r="DD511" s="129"/>
      <c r="DF511" s="132"/>
      <c r="DG511" s="85"/>
      <c r="DH511" s="85"/>
      <c r="DI511" s="84"/>
      <c r="DK511" s="84"/>
      <c r="DP511" s="84"/>
      <c r="DU511" s="84"/>
      <c r="DY511" s="84"/>
      <c r="EC511" s="84"/>
      <c r="EG511" s="84"/>
      <c r="EK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128"/>
      <c r="AA512" s="129"/>
      <c r="AC512" s="130"/>
      <c r="AD512" s="128"/>
      <c r="AE512" s="129"/>
      <c r="AG512" s="130"/>
      <c r="AH512" s="128"/>
      <c r="AI512" s="129"/>
      <c r="AK512" s="130"/>
      <c r="AL512" s="128"/>
      <c r="AM512" s="129"/>
      <c r="AO512" s="130"/>
      <c r="AP512" s="128"/>
      <c r="AQ512" s="129"/>
      <c r="AS512" s="130"/>
      <c r="AT512" s="128"/>
      <c r="AU512" s="129"/>
      <c r="AW512" s="130"/>
      <c r="AX512" s="85"/>
      <c r="AY512" s="84"/>
      <c r="AZ512" s="84"/>
      <c r="BA512" s="131"/>
      <c r="BB512" s="84"/>
      <c r="BE512" s="84"/>
      <c r="BI512" s="86"/>
      <c r="BO512" s="84"/>
      <c r="BT512" s="84"/>
      <c r="BY512" s="84"/>
      <c r="CD512" s="84"/>
      <c r="CI512" s="128"/>
      <c r="CJ512" s="129"/>
      <c r="CL512" s="132"/>
      <c r="CM512" s="128"/>
      <c r="CN512" s="129"/>
      <c r="CP512" s="132"/>
      <c r="CQ512" s="128"/>
      <c r="CR512" s="129"/>
      <c r="CT512" s="132"/>
      <c r="CU512" s="128"/>
      <c r="CV512" s="129"/>
      <c r="CX512" s="132"/>
      <c r="CY512" s="128"/>
      <c r="CZ512" s="129"/>
      <c r="DB512" s="132"/>
      <c r="DC512" s="128"/>
      <c r="DD512" s="129"/>
      <c r="DF512" s="132"/>
      <c r="DG512" s="85"/>
      <c r="DH512" s="85"/>
      <c r="DI512" s="84"/>
      <c r="DK512" s="84"/>
      <c r="DP512" s="84"/>
      <c r="DU512" s="84"/>
      <c r="DY512" s="84"/>
      <c r="EC512" s="84"/>
      <c r="EG512" s="84"/>
      <c r="EK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128"/>
      <c r="AA513" s="129"/>
      <c r="AC513" s="130"/>
      <c r="AD513" s="128"/>
      <c r="AE513" s="129"/>
      <c r="AG513" s="130"/>
      <c r="AH513" s="128"/>
      <c r="AI513" s="129"/>
      <c r="AK513" s="130"/>
      <c r="AL513" s="128"/>
      <c r="AM513" s="129"/>
      <c r="AO513" s="130"/>
      <c r="AP513" s="128"/>
      <c r="AQ513" s="129"/>
      <c r="AS513" s="130"/>
      <c r="AT513" s="128"/>
      <c r="AU513" s="129"/>
      <c r="AW513" s="130"/>
      <c r="AX513" s="85"/>
      <c r="AY513" s="84"/>
      <c r="AZ513" s="84"/>
      <c r="BA513" s="131"/>
      <c r="BB513" s="84"/>
      <c r="BE513" s="84"/>
      <c r="BI513" s="86"/>
      <c r="BO513" s="84"/>
      <c r="BT513" s="84"/>
      <c r="BY513" s="84"/>
      <c r="CD513" s="84"/>
      <c r="CI513" s="128"/>
      <c r="CJ513" s="129"/>
      <c r="CL513" s="132"/>
      <c r="CM513" s="128"/>
      <c r="CN513" s="129"/>
      <c r="CP513" s="132"/>
      <c r="CQ513" s="128"/>
      <c r="CR513" s="129"/>
      <c r="CT513" s="132"/>
      <c r="CU513" s="128"/>
      <c r="CV513" s="129"/>
      <c r="CX513" s="132"/>
      <c r="CY513" s="128"/>
      <c r="CZ513" s="129"/>
      <c r="DB513" s="132"/>
      <c r="DC513" s="128"/>
      <c r="DD513" s="129"/>
      <c r="DF513" s="132"/>
      <c r="DG513" s="85"/>
      <c r="DH513" s="85"/>
      <c r="DI513" s="84"/>
      <c r="DK513" s="84"/>
      <c r="DP513" s="84"/>
      <c r="DU513" s="84"/>
      <c r="DY513" s="84"/>
      <c r="EC513" s="84"/>
      <c r="EG513" s="84"/>
      <c r="EK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128"/>
      <c r="AA514" s="129"/>
      <c r="AC514" s="130"/>
      <c r="AD514" s="128"/>
      <c r="AE514" s="129"/>
      <c r="AG514" s="130"/>
      <c r="AH514" s="128"/>
      <c r="AI514" s="129"/>
      <c r="AK514" s="130"/>
      <c r="AL514" s="128"/>
      <c r="AM514" s="129"/>
      <c r="AO514" s="130"/>
      <c r="AP514" s="128"/>
      <c r="AQ514" s="129"/>
      <c r="AS514" s="130"/>
      <c r="AT514" s="128"/>
      <c r="AU514" s="129"/>
      <c r="AW514" s="130"/>
      <c r="AX514" s="85"/>
      <c r="AY514" s="84"/>
      <c r="AZ514" s="84"/>
      <c r="BA514" s="131"/>
      <c r="BB514" s="84"/>
      <c r="BE514" s="84"/>
      <c r="BI514" s="86"/>
      <c r="BO514" s="84"/>
      <c r="BT514" s="84"/>
      <c r="BY514" s="84"/>
      <c r="CD514" s="84"/>
      <c r="CI514" s="128"/>
      <c r="CJ514" s="129"/>
      <c r="CL514" s="132"/>
      <c r="CM514" s="128"/>
      <c r="CN514" s="129"/>
      <c r="CP514" s="132"/>
      <c r="CQ514" s="128"/>
      <c r="CR514" s="129"/>
      <c r="CT514" s="132"/>
      <c r="CU514" s="128"/>
      <c r="CV514" s="129"/>
      <c r="CX514" s="132"/>
      <c r="CY514" s="128"/>
      <c r="CZ514" s="129"/>
      <c r="DB514" s="132"/>
      <c r="DC514" s="128"/>
      <c r="DD514" s="129"/>
      <c r="DF514" s="132"/>
      <c r="DG514" s="85"/>
      <c r="DH514" s="85"/>
      <c r="DI514" s="84"/>
      <c r="DK514" s="84"/>
      <c r="DP514" s="84"/>
      <c r="DU514" s="84"/>
      <c r="DY514" s="84"/>
      <c r="EC514" s="84"/>
      <c r="EG514" s="84"/>
      <c r="EK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128"/>
      <c r="AA515" s="129"/>
      <c r="AC515" s="130"/>
      <c r="AD515" s="128"/>
      <c r="AE515" s="129"/>
      <c r="AG515" s="130"/>
      <c r="AH515" s="128"/>
      <c r="AI515" s="129"/>
      <c r="AK515" s="130"/>
      <c r="AL515" s="128"/>
      <c r="AM515" s="129"/>
      <c r="AO515" s="130"/>
      <c r="AP515" s="128"/>
      <c r="AQ515" s="129"/>
      <c r="AS515" s="130"/>
      <c r="AT515" s="128"/>
      <c r="AU515" s="129"/>
      <c r="AW515" s="130"/>
      <c r="AX515" s="85"/>
      <c r="AY515" s="84"/>
      <c r="AZ515" s="84"/>
      <c r="BA515" s="131"/>
      <c r="BB515" s="84"/>
      <c r="BE515" s="84"/>
      <c r="BI515" s="86"/>
      <c r="BO515" s="84"/>
      <c r="BT515" s="84"/>
      <c r="BY515" s="84"/>
      <c r="CD515" s="84"/>
      <c r="CI515" s="128"/>
      <c r="CJ515" s="129"/>
      <c r="CL515" s="132"/>
      <c r="CM515" s="128"/>
      <c r="CN515" s="129"/>
      <c r="CP515" s="132"/>
      <c r="CQ515" s="128"/>
      <c r="CR515" s="129"/>
      <c r="CT515" s="132"/>
      <c r="CU515" s="128"/>
      <c r="CV515" s="129"/>
      <c r="CX515" s="132"/>
      <c r="CY515" s="128"/>
      <c r="CZ515" s="129"/>
      <c r="DB515" s="132"/>
      <c r="DC515" s="128"/>
      <c r="DD515" s="129"/>
      <c r="DF515" s="132"/>
      <c r="DG515" s="85"/>
      <c r="DH515" s="85"/>
      <c r="DI515" s="84"/>
      <c r="DK515" s="84"/>
      <c r="DP515" s="84"/>
      <c r="DU515" s="84"/>
      <c r="DY515" s="84"/>
      <c r="EC515" s="84"/>
      <c r="EG515" s="84"/>
      <c r="EK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128"/>
      <c r="AA516" s="129"/>
      <c r="AC516" s="130"/>
      <c r="AD516" s="128"/>
      <c r="AE516" s="129"/>
      <c r="AG516" s="130"/>
      <c r="AH516" s="128"/>
      <c r="AI516" s="129"/>
      <c r="AK516" s="130"/>
      <c r="AL516" s="128"/>
      <c r="AM516" s="129"/>
      <c r="AO516" s="130"/>
      <c r="AP516" s="128"/>
      <c r="AQ516" s="129"/>
      <c r="AS516" s="130"/>
      <c r="AT516" s="128"/>
      <c r="AU516" s="129"/>
      <c r="AW516" s="130"/>
      <c r="AX516" s="85"/>
      <c r="AY516" s="84"/>
      <c r="AZ516" s="84"/>
      <c r="BA516" s="131"/>
      <c r="BB516" s="84"/>
      <c r="BE516" s="84"/>
      <c r="BI516" s="86"/>
      <c r="BO516" s="84"/>
      <c r="BT516" s="84"/>
      <c r="BY516" s="84"/>
      <c r="CD516" s="84"/>
      <c r="CI516" s="128"/>
      <c r="CJ516" s="129"/>
      <c r="CL516" s="132"/>
      <c r="CM516" s="128"/>
      <c r="CN516" s="129"/>
      <c r="CP516" s="132"/>
      <c r="CQ516" s="128"/>
      <c r="CR516" s="129"/>
      <c r="CT516" s="132"/>
      <c r="CU516" s="128"/>
      <c r="CV516" s="129"/>
      <c r="CX516" s="132"/>
      <c r="CY516" s="128"/>
      <c r="CZ516" s="129"/>
      <c r="DB516" s="132"/>
      <c r="DC516" s="128"/>
      <c r="DD516" s="129"/>
      <c r="DF516" s="132"/>
      <c r="DG516" s="85"/>
      <c r="DH516" s="85"/>
      <c r="DI516" s="84"/>
      <c r="DK516" s="84"/>
      <c r="DP516" s="84"/>
      <c r="DU516" s="84"/>
      <c r="DY516" s="84"/>
      <c r="EC516" s="84"/>
      <c r="EG516" s="84"/>
      <c r="EK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128"/>
      <c r="AA517" s="129"/>
      <c r="AC517" s="130"/>
      <c r="AD517" s="128"/>
      <c r="AE517" s="129"/>
      <c r="AG517" s="130"/>
      <c r="AH517" s="128"/>
      <c r="AI517" s="129"/>
      <c r="AK517" s="130"/>
      <c r="AL517" s="128"/>
      <c r="AM517" s="129"/>
      <c r="AO517" s="130"/>
      <c r="AP517" s="128"/>
      <c r="AQ517" s="129"/>
      <c r="AS517" s="130"/>
      <c r="AT517" s="128"/>
      <c r="AU517" s="129"/>
      <c r="AW517" s="130"/>
      <c r="AX517" s="85"/>
      <c r="AY517" s="84"/>
      <c r="AZ517" s="84"/>
      <c r="BA517" s="131"/>
      <c r="BB517" s="84"/>
      <c r="BE517" s="84"/>
      <c r="BI517" s="86"/>
      <c r="BO517" s="84"/>
      <c r="BT517" s="84"/>
      <c r="BY517" s="84"/>
      <c r="CD517" s="84"/>
      <c r="CI517" s="128"/>
      <c r="CJ517" s="129"/>
      <c r="CL517" s="132"/>
      <c r="CM517" s="128"/>
      <c r="CN517" s="129"/>
      <c r="CP517" s="132"/>
      <c r="CQ517" s="128"/>
      <c r="CR517" s="129"/>
      <c r="CT517" s="132"/>
      <c r="CU517" s="128"/>
      <c r="CV517" s="129"/>
      <c r="CX517" s="132"/>
      <c r="CY517" s="128"/>
      <c r="CZ517" s="129"/>
      <c r="DB517" s="132"/>
      <c r="DC517" s="128"/>
      <c r="DD517" s="129"/>
      <c r="DF517" s="132"/>
      <c r="DG517" s="85"/>
      <c r="DH517" s="85"/>
      <c r="DI517" s="84"/>
      <c r="DK517" s="84"/>
      <c r="DP517" s="84"/>
      <c r="DU517" s="84"/>
      <c r="DY517" s="84"/>
      <c r="EC517" s="84"/>
      <c r="EG517" s="84"/>
      <c r="EK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128"/>
      <c r="AA518" s="129"/>
      <c r="AC518" s="130"/>
      <c r="AD518" s="128"/>
      <c r="AE518" s="129"/>
      <c r="AG518" s="130"/>
      <c r="AH518" s="128"/>
      <c r="AI518" s="129"/>
      <c r="AK518" s="130"/>
      <c r="AL518" s="128"/>
      <c r="AM518" s="129"/>
      <c r="AO518" s="130"/>
      <c r="AP518" s="128"/>
      <c r="AQ518" s="129"/>
      <c r="AS518" s="130"/>
      <c r="AT518" s="128"/>
      <c r="AU518" s="129"/>
      <c r="AW518" s="130"/>
      <c r="AX518" s="85"/>
      <c r="AY518" s="84"/>
      <c r="AZ518" s="84"/>
      <c r="BA518" s="131"/>
      <c r="BB518" s="84"/>
      <c r="BE518" s="84"/>
      <c r="BI518" s="86"/>
      <c r="BO518" s="84"/>
      <c r="BT518" s="84"/>
      <c r="BY518" s="84"/>
      <c r="CD518" s="84"/>
      <c r="CI518" s="128"/>
      <c r="CJ518" s="129"/>
      <c r="CL518" s="132"/>
      <c r="CM518" s="128"/>
      <c r="CN518" s="129"/>
      <c r="CP518" s="132"/>
      <c r="CQ518" s="128"/>
      <c r="CR518" s="129"/>
      <c r="CT518" s="132"/>
      <c r="CU518" s="128"/>
      <c r="CV518" s="129"/>
      <c r="CX518" s="132"/>
      <c r="CY518" s="128"/>
      <c r="CZ518" s="129"/>
      <c r="DB518" s="132"/>
      <c r="DC518" s="128"/>
      <c r="DD518" s="129"/>
      <c r="DF518" s="132"/>
      <c r="DG518" s="85"/>
      <c r="DH518" s="85"/>
      <c r="DI518" s="84"/>
      <c r="DK518" s="84"/>
      <c r="DP518" s="84"/>
      <c r="DU518" s="84"/>
      <c r="DY518" s="84"/>
      <c r="EC518" s="84"/>
      <c r="EG518" s="84"/>
      <c r="EK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128"/>
      <c r="AA519" s="129"/>
      <c r="AC519" s="130"/>
      <c r="AD519" s="128"/>
      <c r="AE519" s="129"/>
      <c r="AG519" s="130"/>
      <c r="AH519" s="128"/>
      <c r="AI519" s="129"/>
      <c r="AK519" s="130"/>
      <c r="AL519" s="128"/>
      <c r="AM519" s="129"/>
      <c r="AO519" s="130"/>
      <c r="AP519" s="128"/>
      <c r="AQ519" s="129"/>
      <c r="AS519" s="130"/>
      <c r="AT519" s="128"/>
      <c r="AU519" s="129"/>
      <c r="AW519" s="130"/>
      <c r="AX519" s="85"/>
      <c r="AY519" s="84"/>
      <c r="AZ519" s="84"/>
      <c r="BA519" s="131"/>
      <c r="BB519" s="84"/>
      <c r="BE519" s="84"/>
      <c r="BI519" s="86"/>
      <c r="BO519" s="84"/>
      <c r="BT519" s="84"/>
      <c r="BY519" s="84"/>
      <c r="CD519" s="84"/>
      <c r="CI519" s="128"/>
      <c r="CJ519" s="129"/>
      <c r="CL519" s="132"/>
      <c r="CM519" s="128"/>
      <c r="CN519" s="129"/>
      <c r="CP519" s="132"/>
      <c r="CQ519" s="128"/>
      <c r="CR519" s="129"/>
      <c r="CT519" s="132"/>
      <c r="CU519" s="128"/>
      <c r="CV519" s="129"/>
      <c r="CX519" s="132"/>
      <c r="CY519" s="128"/>
      <c r="CZ519" s="129"/>
      <c r="DB519" s="132"/>
      <c r="DC519" s="128"/>
      <c r="DD519" s="129"/>
      <c r="DF519" s="132"/>
      <c r="DG519" s="85"/>
      <c r="DH519" s="85"/>
      <c r="DI519" s="84"/>
      <c r="DK519" s="84"/>
      <c r="DP519" s="84"/>
      <c r="DU519" s="84"/>
      <c r="DY519" s="84"/>
      <c r="EC519" s="84"/>
      <c r="EG519" s="84"/>
      <c r="EK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128"/>
      <c r="AA520" s="129"/>
      <c r="AC520" s="130"/>
      <c r="AD520" s="128"/>
      <c r="AE520" s="129"/>
      <c r="AG520" s="130"/>
      <c r="AH520" s="128"/>
      <c r="AI520" s="129"/>
      <c r="AK520" s="130"/>
      <c r="AL520" s="128"/>
      <c r="AM520" s="129"/>
      <c r="AO520" s="130"/>
      <c r="AP520" s="128"/>
      <c r="AQ520" s="129"/>
      <c r="AS520" s="130"/>
      <c r="AT520" s="128"/>
      <c r="AU520" s="129"/>
      <c r="AW520" s="130"/>
      <c r="AX520" s="85"/>
      <c r="AY520" s="84"/>
      <c r="AZ520" s="84"/>
      <c r="BA520" s="131"/>
      <c r="BB520" s="84"/>
      <c r="BE520" s="84"/>
      <c r="BI520" s="86"/>
      <c r="BO520" s="84"/>
      <c r="BT520" s="84"/>
      <c r="BY520" s="84"/>
      <c r="CD520" s="84"/>
      <c r="CI520" s="128"/>
      <c r="CJ520" s="129"/>
      <c r="CL520" s="132"/>
      <c r="CM520" s="128"/>
      <c r="CN520" s="129"/>
      <c r="CP520" s="132"/>
      <c r="CQ520" s="128"/>
      <c r="CR520" s="129"/>
      <c r="CT520" s="132"/>
      <c r="CU520" s="128"/>
      <c r="CV520" s="129"/>
      <c r="CX520" s="132"/>
      <c r="CY520" s="128"/>
      <c r="CZ520" s="129"/>
      <c r="DB520" s="132"/>
      <c r="DC520" s="128"/>
      <c r="DD520" s="129"/>
      <c r="DF520" s="132"/>
      <c r="DG520" s="85"/>
      <c r="DH520" s="85"/>
      <c r="DI520" s="84"/>
      <c r="DK520" s="84"/>
      <c r="DP520" s="84"/>
      <c r="DU520" s="84"/>
      <c r="DY520" s="84"/>
      <c r="EC520" s="84"/>
      <c r="EG520" s="84"/>
      <c r="EK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128"/>
      <c r="AA521" s="129"/>
      <c r="AC521" s="130"/>
      <c r="AD521" s="128"/>
      <c r="AE521" s="129"/>
      <c r="AG521" s="130"/>
      <c r="AH521" s="128"/>
      <c r="AI521" s="129"/>
      <c r="AK521" s="130"/>
      <c r="AL521" s="128"/>
      <c r="AM521" s="129"/>
      <c r="AO521" s="130"/>
      <c r="AP521" s="128"/>
      <c r="AQ521" s="129"/>
      <c r="AS521" s="130"/>
      <c r="AT521" s="128"/>
      <c r="AU521" s="129"/>
      <c r="AW521" s="130"/>
      <c r="AX521" s="85"/>
      <c r="AY521" s="84"/>
      <c r="AZ521" s="84"/>
      <c r="BA521" s="131"/>
      <c r="BB521" s="84"/>
      <c r="BE521" s="84"/>
      <c r="BI521" s="86"/>
      <c r="BO521" s="84"/>
      <c r="BT521" s="84"/>
      <c r="BY521" s="84"/>
      <c r="CD521" s="84"/>
      <c r="CI521" s="128"/>
      <c r="CJ521" s="129"/>
      <c r="CL521" s="132"/>
      <c r="CM521" s="128"/>
      <c r="CN521" s="129"/>
      <c r="CP521" s="132"/>
      <c r="CQ521" s="128"/>
      <c r="CR521" s="129"/>
      <c r="CT521" s="132"/>
      <c r="CU521" s="128"/>
      <c r="CV521" s="129"/>
      <c r="CX521" s="132"/>
      <c r="CY521" s="128"/>
      <c r="CZ521" s="129"/>
      <c r="DB521" s="132"/>
      <c r="DC521" s="128"/>
      <c r="DD521" s="129"/>
      <c r="DF521" s="132"/>
      <c r="DG521" s="85"/>
      <c r="DH521" s="85"/>
      <c r="DI521" s="84"/>
      <c r="DK521" s="84"/>
      <c r="DP521" s="84"/>
      <c r="DU521" s="84"/>
      <c r="DY521" s="84"/>
      <c r="EC521" s="84"/>
      <c r="EG521" s="84"/>
      <c r="EK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128"/>
      <c r="AA522" s="129"/>
      <c r="AC522" s="130"/>
      <c r="AD522" s="128"/>
      <c r="AE522" s="129"/>
      <c r="AG522" s="130"/>
      <c r="AH522" s="128"/>
      <c r="AI522" s="129"/>
      <c r="AK522" s="130"/>
      <c r="AL522" s="128"/>
      <c r="AM522" s="129"/>
      <c r="AO522" s="130"/>
      <c r="AP522" s="128"/>
      <c r="AQ522" s="129"/>
      <c r="AS522" s="130"/>
      <c r="AT522" s="128"/>
      <c r="AU522" s="129"/>
      <c r="AW522" s="130"/>
      <c r="AX522" s="85"/>
      <c r="AY522" s="84"/>
      <c r="AZ522" s="84"/>
      <c r="BA522" s="131"/>
      <c r="BB522" s="84"/>
      <c r="BE522" s="84"/>
      <c r="BI522" s="86"/>
      <c r="BO522" s="84"/>
      <c r="BT522" s="84"/>
      <c r="BY522" s="84"/>
      <c r="CD522" s="84"/>
      <c r="CI522" s="128"/>
      <c r="CJ522" s="129"/>
      <c r="CL522" s="132"/>
      <c r="CM522" s="128"/>
      <c r="CN522" s="129"/>
      <c r="CP522" s="132"/>
      <c r="CQ522" s="128"/>
      <c r="CR522" s="129"/>
      <c r="CT522" s="132"/>
      <c r="CU522" s="128"/>
      <c r="CV522" s="129"/>
      <c r="CX522" s="132"/>
      <c r="CY522" s="128"/>
      <c r="CZ522" s="129"/>
      <c r="DB522" s="132"/>
      <c r="DC522" s="128"/>
      <c r="DD522" s="129"/>
      <c r="DF522" s="132"/>
      <c r="DG522" s="85"/>
      <c r="DH522" s="85"/>
      <c r="DI522" s="84"/>
      <c r="DK522" s="84"/>
      <c r="DP522" s="84"/>
      <c r="DU522" s="84"/>
      <c r="DY522" s="84"/>
      <c r="EC522" s="84"/>
      <c r="EG522" s="84"/>
      <c r="EK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128"/>
      <c r="AA523" s="129"/>
      <c r="AC523" s="130"/>
      <c r="AD523" s="128"/>
      <c r="AE523" s="129"/>
      <c r="AG523" s="130"/>
      <c r="AH523" s="128"/>
      <c r="AI523" s="129"/>
      <c r="AK523" s="130"/>
      <c r="AL523" s="128"/>
      <c r="AM523" s="129"/>
      <c r="AO523" s="130"/>
      <c r="AP523" s="128"/>
      <c r="AQ523" s="129"/>
      <c r="AS523" s="130"/>
      <c r="AT523" s="128"/>
      <c r="AU523" s="129"/>
      <c r="AW523" s="130"/>
      <c r="AX523" s="85"/>
      <c r="AY523" s="84"/>
      <c r="AZ523" s="84"/>
      <c r="BA523" s="131"/>
      <c r="BB523" s="84"/>
      <c r="BE523" s="84"/>
      <c r="BI523" s="86"/>
      <c r="BO523" s="84"/>
      <c r="BT523" s="84"/>
      <c r="BY523" s="84"/>
      <c r="CD523" s="84"/>
      <c r="CI523" s="128"/>
      <c r="CJ523" s="129"/>
      <c r="CL523" s="132"/>
      <c r="CM523" s="128"/>
      <c r="CN523" s="129"/>
      <c r="CP523" s="132"/>
      <c r="CQ523" s="128"/>
      <c r="CR523" s="129"/>
      <c r="CT523" s="132"/>
      <c r="CU523" s="128"/>
      <c r="CV523" s="129"/>
      <c r="CX523" s="132"/>
      <c r="CY523" s="128"/>
      <c r="CZ523" s="129"/>
      <c r="DB523" s="132"/>
      <c r="DC523" s="128"/>
      <c r="DD523" s="129"/>
      <c r="DF523" s="132"/>
      <c r="DG523" s="85"/>
      <c r="DH523" s="85"/>
      <c r="DI523" s="84"/>
      <c r="DK523" s="84"/>
      <c r="DP523" s="84"/>
      <c r="DU523" s="84"/>
      <c r="DY523" s="84"/>
      <c r="EC523" s="84"/>
      <c r="EG523" s="84"/>
      <c r="EK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128"/>
      <c r="AA524" s="129"/>
      <c r="AC524" s="130"/>
      <c r="AD524" s="128"/>
      <c r="AE524" s="129"/>
      <c r="AG524" s="130"/>
      <c r="AH524" s="128"/>
      <c r="AI524" s="129"/>
      <c r="AK524" s="130"/>
      <c r="AL524" s="128"/>
      <c r="AM524" s="129"/>
      <c r="AO524" s="130"/>
      <c r="AP524" s="128"/>
      <c r="AQ524" s="129"/>
      <c r="AS524" s="130"/>
      <c r="AT524" s="128"/>
      <c r="AU524" s="129"/>
      <c r="AW524" s="130"/>
      <c r="AX524" s="85"/>
      <c r="AY524" s="84"/>
      <c r="AZ524" s="84"/>
      <c r="BA524" s="131"/>
      <c r="BB524" s="84"/>
      <c r="BE524" s="84"/>
      <c r="BI524" s="86"/>
      <c r="BO524" s="84"/>
      <c r="BT524" s="84"/>
      <c r="BY524" s="84"/>
      <c r="CD524" s="84"/>
      <c r="CI524" s="128"/>
      <c r="CJ524" s="129"/>
      <c r="CL524" s="132"/>
      <c r="CM524" s="128"/>
      <c r="CN524" s="129"/>
      <c r="CP524" s="132"/>
      <c r="CQ524" s="128"/>
      <c r="CR524" s="129"/>
      <c r="CT524" s="132"/>
      <c r="CU524" s="128"/>
      <c r="CV524" s="129"/>
      <c r="CX524" s="132"/>
      <c r="CY524" s="128"/>
      <c r="CZ524" s="129"/>
      <c r="DB524" s="132"/>
      <c r="DC524" s="128"/>
      <c r="DD524" s="129"/>
      <c r="DF524" s="132"/>
      <c r="DG524" s="85"/>
      <c r="DH524" s="85"/>
      <c r="DI524" s="84"/>
      <c r="DK524" s="84"/>
      <c r="DP524" s="84"/>
      <c r="DU524" s="84"/>
      <c r="DY524" s="84"/>
      <c r="EC524" s="84"/>
      <c r="EG524" s="84"/>
      <c r="EK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128"/>
      <c r="AA525" s="129"/>
      <c r="AC525" s="130"/>
      <c r="AD525" s="128"/>
      <c r="AE525" s="129"/>
      <c r="AG525" s="130"/>
      <c r="AH525" s="128"/>
      <c r="AI525" s="129"/>
      <c r="AK525" s="130"/>
      <c r="AL525" s="128"/>
      <c r="AM525" s="129"/>
      <c r="AO525" s="130"/>
      <c r="AP525" s="128"/>
      <c r="AQ525" s="129"/>
      <c r="AS525" s="130"/>
      <c r="AT525" s="128"/>
      <c r="AU525" s="129"/>
      <c r="AW525" s="130"/>
      <c r="AX525" s="85"/>
      <c r="AY525" s="84"/>
      <c r="AZ525" s="84"/>
      <c r="BA525" s="131"/>
      <c r="BB525" s="84"/>
      <c r="BE525" s="84"/>
      <c r="BI525" s="86"/>
      <c r="BO525" s="84"/>
      <c r="BT525" s="84"/>
      <c r="BY525" s="84"/>
      <c r="CD525" s="84"/>
      <c r="CI525" s="128"/>
      <c r="CJ525" s="129"/>
      <c r="CL525" s="132"/>
      <c r="CM525" s="128"/>
      <c r="CN525" s="129"/>
      <c r="CP525" s="132"/>
      <c r="CQ525" s="128"/>
      <c r="CR525" s="129"/>
      <c r="CT525" s="132"/>
      <c r="CU525" s="128"/>
      <c r="CV525" s="129"/>
      <c r="CX525" s="132"/>
      <c r="CY525" s="128"/>
      <c r="CZ525" s="129"/>
      <c r="DB525" s="132"/>
      <c r="DC525" s="128"/>
      <c r="DD525" s="129"/>
      <c r="DF525" s="132"/>
      <c r="DG525" s="85"/>
      <c r="DH525" s="85"/>
      <c r="DI525" s="84"/>
      <c r="DK525" s="84"/>
      <c r="DP525" s="84"/>
      <c r="DU525" s="84"/>
      <c r="DY525" s="84"/>
      <c r="EC525" s="84"/>
      <c r="EG525" s="84"/>
      <c r="EK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128"/>
      <c r="AA526" s="129"/>
      <c r="AC526" s="130"/>
      <c r="AD526" s="128"/>
      <c r="AE526" s="129"/>
      <c r="AG526" s="130"/>
      <c r="AH526" s="128"/>
      <c r="AI526" s="129"/>
      <c r="AK526" s="130"/>
      <c r="AL526" s="128"/>
      <c r="AM526" s="129"/>
      <c r="AO526" s="130"/>
      <c r="AP526" s="128"/>
      <c r="AQ526" s="129"/>
      <c r="AS526" s="130"/>
      <c r="AT526" s="128"/>
      <c r="AU526" s="129"/>
      <c r="AW526" s="130"/>
      <c r="AX526" s="85"/>
      <c r="AY526" s="84"/>
      <c r="AZ526" s="84"/>
      <c r="BA526" s="131"/>
      <c r="BB526" s="84"/>
      <c r="BE526" s="84"/>
      <c r="BI526" s="86"/>
      <c r="BO526" s="84"/>
      <c r="BT526" s="84"/>
      <c r="BY526" s="84"/>
      <c r="CD526" s="84"/>
      <c r="CI526" s="128"/>
      <c r="CJ526" s="129"/>
      <c r="CL526" s="132"/>
      <c r="CM526" s="128"/>
      <c r="CN526" s="129"/>
      <c r="CP526" s="132"/>
      <c r="CQ526" s="128"/>
      <c r="CR526" s="129"/>
      <c r="CT526" s="132"/>
      <c r="CU526" s="128"/>
      <c r="CV526" s="129"/>
      <c r="CX526" s="132"/>
      <c r="CY526" s="128"/>
      <c r="CZ526" s="129"/>
      <c r="DB526" s="132"/>
      <c r="DC526" s="128"/>
      <c r="DD526" s="129"/>
      <c r="DF526" s="132"/>
      <c r="DG526" s="85"/>
      <c r="DH526" s="85"/>
      <c r="DI526" s="84"/>
      <c r="DK526" s="84"/>
      <c r="DP526" s="84"/>
      <c r="DU526" s="84"/>
      <c r="DY526" s="84"/>
      <c r="EC526" s="84"/>
      <c r="EG526" s="84"/>
      <c r="EK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128"/>
      <c r="AA527" s="129"/>
      <c r="AC527" s="130"/>
      <c r="AD527" s="128"/>
      <c r="AE527" s="129"/>
      <c r="AG527" s="130"/>
      <c r="AH527" s="128"/>
      <c r="AI527" s="129"/>
      <c r="AK527" s="130"/>
      <c r="AL527" s="128"/>
      <c r="AM527" s="129"/>
      <c r="AO527" s="130"/>
      <c r="AP527" s="128"/>
      <c r="AQ527" s="129"/>
      <c r="AS527" s="130"/>
      <c r="AT527" s="128"/>
      <c r="AU527" s="129"/>
      <c r="AW527" s="130"/>
      <c r="AX527" s="85"/>
      <c r="AY527" s="84"/>
      <c r="AZ527" s="84"/>
      <c r="BA527" s="131"/>
      <c r="BB527" s="84"/>
      <c r="BE527" s="84"/>
      <c r="BI527" s="86"/>
      <c r="BO527" s="84"/>
      <c r="BT527" s="84"/>
      <c r="BY527" s="84"/>
      <c r="CD527" s="84"/>
      <c r="CI527" s="128"/>
      <c r="CJ527" s="129"/>
      <c r="CL527" s="132"/>
      <c r="CM527" s="128"/>
      <c r="CN527" s="129"/>
      <c r="CP527" s="132"/>
      <c r="CQ527" s="128"/>
      <c r="CR527" s="129"/>
      <c r="CT527" s="132"/>
      <c r="CU527" s="128"/>
      <c r="CV527" s="129"/>
      <c r="CX527" s="132"/>
      <c r="CY527" s="128"/>
      <c r="CZ527" s="129"/>
      <c r="DB527" s="132"/>
      <c r="DC527" s="128"/>
      <c r="DD527" s="129"/>
      <c r="DF527" s="132"/>
      <c r="DG527" s="85"/>
      <c r="DH527" s="85"/>
      <c r="DI527" s="84"/>
      <c r="DK527" s="84"/>
      <c r="DP527" s="84"/>
      <c r="DU527" s="84"/>
      <c r="DY527" s="84"/>
      <c r="EC527" s="84"/>
      <c r="EG527" s="84"/>
      <c r="EK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128"/>
      <c r="AA528" s="129"/>
      <c r="AC528" s="130"/>
      <c r="AD528" s="128"/>
      <c r="AE528" s="129"/>
      <c r="AG528" s="130"/>
      <c r="AH528" s="128"/>
      <c r="AI528" s="129"/>
      <c r="AK528" s="130"/>
      <c r="AL528" s="128"/>
      <c r="AM528" s="129"/>
      <c r="AO528" s="130"/>
      <c r="AP528" s="128"/>
      <c r="AQ528" s="129"/>
      <c r="AS528" s="130"/>
      <c r="AT528" s="128"/>
      <c r="AU528" s="129"/>
      <c r="AW528" s="130"/>
      <c r="AX528" s="85"/>
      <c r="AY528" s="84"/>
      <c r="AZ528" s="84"/>
      <c r="BA528" s="131"/>
      <c r="BB528" s="84"/>
      <c r="BE528" s="84"/>
      <c r="BI528" s="86"/>
      <c r="BO528" s="84"/>
      <c r="BT528" s="84"/>
      <c r="BY528" s="84"/>
      <c r="CD528" s="84"/>
      <c r="CI528" s="128"/>
      <c r="CJ528" s="129"/>
      <c r="CL528" s="132"/>
      <c r="CM528" s="128"/>
      <c r="CN528" s="129"/>
      <c r="CP528" s="132"/>
      <c r="CQ528" s="128"/>
      <c r="CR528" s="129"/>
      <c r="CT528" s="132"/>
      <c r="CU528" s="128"/>
      <c r="CV528" s="129"/>
      <c r="CX528" s="132"/>
      <c r="CY528" s="128"/>
      <c r="CZ528" s="129"/>
      <c r="DB528" s="132"/>
      <c r="DC528" s="128"/>
      <c r="DD528" s="129"/>
      <c r="DF528" s="132"/>
      <c r="DG528" s="85"/>
      <c r="DH528" s="85"/>
      <c r="DI528" s="84"/>
      <c r="DK528" s="84"/>
      <c r="DP528" s="84"/>
      <c r="DU528" s="84"/>
      <c r="DY528" s="84"/>
      <c r="EC528" s="84"/>
      <c r="EG528" s="84"/>
      <c r="EK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128"/>
      <c r="AA529" s="129"/>
      <c r="AC529" s="130"/>
      <c r="AD529" s="128"/>
      <c r="AE529" s="129"/>
      <c r="AG529" s="130"/>
      <c r="AH529" s="128"/>
      <c r="AI529" s="129"/>
      <c r="AK529" s="130"/>
      <c r="AL529" s="128"/>
      <c r="AM529" s="129"/>
      <c r="AO529" s="130"/>
      <c r="AP529" s="128"/>
      <c r="AQ529" s="129"/>
      <c r="AS529" s="130"/>
      <c r="AT529" s="128"/>
      <c r="AU529" s="129"/>
      <c r="AW529" s="130"/>
      <c r="AX529" s="85"/>
      <c r="AY529" s="84"/>
      <c r="AZ529" s="84"/>
      <c r="BA529" s="131"/>
      <c r="BB529" s="84"/>
      <c r="BE529" s="84"/>
      <c r="BI529" s="86"/>
      <c r="BO529" s="84"/>
      <c r="BT529" s="84"/>
      <c r="BY529" s="84"/>
      <c r="CD529" s="84"/>
      <c r="CI529" s="128"/>
      <c r="CJ529" s="129"/>
      <c r="CL529" s="132"/>
      <c r="CM529" s="128"/>
      <c r="CN529" s="129"/>
      <c r="CP529" s="132"/>
      <c r="CQ529" s="128"/>
      <c r="CR529" s="129"/>
      <c r="CT529" s="132"/>
      <c r="CU529" s="128"/>
      <c r="CV529" s="129"/>
      <c r="CX529" s="132"/>
      <c r="CY529" s="128"/>
      <c r="CZ529" s="129"/>
      <c r="DB529" s="132"/>
      <c r="DC529" s="128"/>
      <c r="DD529" s="129"/>
      <c r="DF529" s="132"/>
      <c r="DG529" s="85"/>
      <c r="DH529" s="85"/>
      <c r="DI529" s="84"/>
      <c r="DK529" s="84"/>
      <c r="DP529" s="84"/>
      <c r="DU529" s="84"/>
      <c r="DY529" s="84"/>
      <c r="EC529" s="84"/>
      <c r="EG529" s="84"/>
      <c r="EK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128"/>
      <c r="AA530" s="129"/>
      <c r="AC530" s="130"/>
      <c r="AD530" s="128"/>
      <c r="AE530" s="129"/>
      <c r="AG530" s="130"/>
      <c r="AH530" s="128"/>
      <c r="AI530" s="129"/>
      <c r="AK530" s="130"/>
      <c r="AL530" s="128"/>
      <c r="AM530" s="129"/>
      <c r="AO530" s="130"/>
      <c r="AP530" s="128"/>
      <c r="AQ530" s="129"/>
      <c r="AS530" s="130"/>
      <c r="AT530" s="128"/>
      <c r="AU530" s="129"/>
      <c r="AW530" s="130"/>
      <c r="AX530" s="85"/>
      <c r="AY530" s="84"/>
      <c r="AZ530" s="84"/>
      <c r="BA530" s="131"/>
      <c r="BB530" s="84"/>
      <c r="BE530" s="84"/>
      <c r="BI530" s="86"/>
      <c r="BO530" s="84"/>
      <c r="BT530" s="84"/>
      <c r="BY530" s="84"/>
      <c r="CD530" s="84"/>
      <c r="CI530" s="128"/>
      <c r="CJ530" s="129"/>
      <c r="CL530" s="132"/>
      <c r="CM530" s="128"/>
      <c r="CN530" s="129"/>
      <c r="CP530" s="132"/>
      <c r="CQ530" s="128"/>
      <c r="CR530" s="129"/>
      <c r="CT530" s="132"/>
      <c r="CU530" s="128"/>
      <c r="CV530" s="129"/>
      <c r="CX530" s="132"/>
      <c r="CY530" s="128"/>
      <c r="CZ530" s="129"/>
      <c r="DB530" s="132"/>
      <c r="DC530" s="128"/>
      <c r="DD530" s="129"/>
      <c r="DF530" s="132"/>
      <c r="DG530" s="85"/>
      <c r="DH530" s="85"/>
      <c r="DI530" s="84"/>
      <c r="DK530" s="84"/>
      <c r="DP530" s="84"/>
      <c r="DU530" s="84"/>
      <c r="DY530" s="84"/>
      <c r="EC530" s="84"/>
      <c r="EG530" s="84"/>
      <c r="EK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128"/>
      <c r="AA531" s="129"/>
      <c r="AC531" s="130"/>
      <c r="AD531" s="128"/>
      <c r="AE531" s="129"/>
      <c r="AG531" s="130"/>
      <c r="AH531" s="128"/>
      <c r="AI531" s="129"/>
      <c r="AK531" s="130"/>
      <c r="AL531" s="128"/>
      <c r="AM531" s="129"/>
      <c r="AO531" s="130"/>
      <c r="AP531" s="128"/>
      <c r="AQ531" s="129"/>
      <c r="AS531" s="130"/>
      <c r="AT531" s="128"/>
      <c r="AU531" s="129"/>
      <c r="AW531" s="130"/>
      <c r="AX531" s="85"/>
      <c r="AY531" s="84"/>
      <c r="AZ531" s="84"/>
      <c r="BA531" s="131"/>
      <c r="BB531" s="84"/>
      <c r="BE531" s="84"/>
      <c r="BI531" s="86"/>
      <c r="BO531" s="84"/>
      <c r="BT531" s="84"/>
      <c r="BY531" s="84"/>
      <c r="CD531" s="84"/>
      <c r="CI531" s="128"/>
      <c r="CJ531" s="129"/>
      <c r="CL531" s="132"/>
      <c r="CM531" s="128"/>
      <c r="CN531" s="129"/>
      <c r="CP531" s="132"/>
      <c r="CQ531" s="128"/>
      <c r="CR531" s="129"/>
      <c r="CT531" s="132"/>
      <c r="CU531" s="128"/>
      <c r="CV531" s="129"/>
      <c r="CX531" s="132"/>
      <c r="CY531" s="128"/>
      <c r="CZ531" s="129"/>
      <c r="DB531" s="132"/>
      <c r="DC531" s="128"/>
      <c r="DD531" s="129"/>
      <c r="DF531" s="132"/>
      <c r="DG531" s="85"/>
      <c r="DH531" s="85"/>
      <c r="DI531" s="84"/>
      <c r="DK531" s="84"/>
      <c r="DP531" s="84"/>
      <c r="DU531" s="84"/>
      <c r="DY531" s="84"/>
      <c r="EC531" s="84"/>
      <c r="EG531" s="84"/>
      <c r="EK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128"/>
      <c r="AA532" s="129"/>
      <c r="AC532" s="130"/>
      <c r="AD532" s="128"/>
      <c r="AE532" s="129"/>
      <c r="AG532" s="130"/>
      <c r="AH532" s="128"/>
      <c r="AI532" s="129"/>
      <c r="AK532" s="130"/>
      <c r="AL532" s="128"/>
      <c r="AM532" s="129"/>
      <c r="AO532" s="130"/>
      <c r="AP532" s="128"/>
      <c r="AQ532" s="129"/>
      <c r="AS532" s="130"/>
      <c r="AT532" s="128"/>
      <c r="AU532" s="129"/>
      <c r="AW532" s="130"/>
      <c r="AX532" s="85"/>
      <c r="AY532" s="84"/>
      <c r="AZ532" s="84"/>
      <c r="BA532" s="131"/>
      <c r="BB532" s="84"/>
      <c r="BE532" s="84"/>
      <c r="BI532" s="86"/>
      <c r="BO532" s="84"/>
      <c r="BT532" s="84"/>
      <c r="BY532" s="84"/>
      <c r="CD532" s="84"/>
      <c r="CI532" s="128"/>
      <c r="CJ532" s="129"/>
      <c r="CL532" s="132"/>
      <c r="CM532" s="128"/>
      <c r="CN532" s="129"/>
      <c r="CP532" s="132"/>
      <c r="CQ532" s="128"/>
      <c r="CR532" s="129"/>
      <c r="CT532" s="132"/>
      <c r="CU532" s="128"/>
      <c r="CV532" s="129"/>
      <c r="CX532" s="132"/>
      <c r="CY532" s="128"/>
      <c r="CZ532" s="129"/>
      <c r="DB532" s="132"/>
      <c r="DC532" s="128"/>
      <c r="DD532" s="129"/>
      <c r="DF532" s="132"/>
      <c r="DG532" s="85"/>
      <c r="DH532" s="85"/>
      <c r="DI532" s="84"/>
      <c r="DK532" s="84"/>
      <c r="DP532" s="84"/>
      <c r="DU532" s="84"/>
      <c r="DY532" s="84"/>
      <c r="EC532" s="84"/>
      <c r="EG532" s="84"/>
      <c r="EK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128"/>
      <c r="AA533" s="129"/>
      <c r="AC533" s="130"/>
      <c r="AD533" s="128"/>
      <c r="AE533" s="129"/>
      <c r="AG533" s="130"/>
      <c r="AH533" s="128"/>
      <c r="AI533" s="129"/>
      <c r="AK533" s="130"/>
      <c r="AL533" s="128"/>
      <c r="AM533" s="129"/>
      <c r="AO533" s="130"/>
      <c r="AP533" s="128"/>
      <c r="AQ533" s="129"/>
      <c r="AS533" s="130"/>
      <c r="AT533" s="128"/>
      <c r="AU533" s="129"/>
      <c r="AW533" s="130"/>
      <c r="AX533" s="85"/>
      <c r="AY533" s="84"/>
      <c r="AZ533" s="84"/>
      <c r="BA533" s="131"/>
      <c r="BB533" s="84"/>
      <c r="BE533" s="84"/>
      <c r="BI533" s="86"/>
      <c r="BO533" s="84"/>
      <c r="BT533" s="84"/>
      <c r="BY533" s="84"/>
      <c r="CD533" s="84"/>
      <c r="CI533" s="128"/>
      <c r="CJ533" s="129"/>
      <c r="CL533" s="132"/>
      <c r="CM533" s="128"/>
      <c r="CN533" s="129"/>
      <c r="CP533" s="132"/>
      <c r="CQ533" s="128"/>
      <c r="CR533" s="129"/>
      <c r="CT533" s="132"/>
      <c r="CU533" s="128"/>
      <c r="CV533" s="129"/>
      <c r="CX533" s="132"/>
      <c r="CY533" s="128"/>
      <c r="CZ533" s="129"/>
      <c r="DB533" s="132"/>
      <c r="DC533" s="128"/>
      <c r="DD533" s="129"/>
      <c r="DF533" s="132"/>
      <c r="DG533" s="85"/>
      <c r="DH533" s="85"/>
      <c r="DI533" s="84"/>
      <c r="DK533" s="84"/>
      <c r="DP533" s="84"/>
      <c r="DU533" s="84"/>
      <c r="DY533" s="84"/>
      <c r="EC533" s="84"/>
      <c r="EG533" s="84"/>
      <c r="EK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128"/>
      <c r="AA534" s="129"/>
      <c r="AC534" s="130"/>
      <c r="AD534" s="128"/>
      <c r="AE534" s="129"/>
      <c r="AG534" s="130"/>
      <c r="AH534" s="128"/>
      <c r="AI534" s="129"/>
      <c r="AK534" s="130"/>
      <c r="AL534" s="128"/>
      <c r="AM534" s="129"/>
      <c r="AO534" s="130"/>
      <c r="AP534" s="128"/>
      <c r="AQ534" s="129"/>
      <c r="AS534" s="130"/>
      <c r="AT534" s="128"/>
      <c r="AU534" s="129"/>
      <c r="AW534" s="130"/>
      <c r="AX534" s="85"/>
      <c r="AY534" s="84"/>
      <c r="AZ534" s="84"/>
      <c r="BA534" s="131"/>
      <c r="BB534" s="84"/>
      <c r="BE534" s="84"/>
      <c r="BI534" s="86"/>
      <c r="BO534" s="84"/>
      <c r="BT534" s="84"/>
      <c r="BY534" s="84"/>
      <c r="CD534" s="84"/>
      <c r="CI534" s="128"/>
      <c r="CJ534" s="129"/>
      <c r="CL534" s="132"/>
      <c r="CM534" s="128"/>
      <c r="CN534" s="129"/>
      <c r="CP534" s="132"/>
      <c r="CQ534" s="128"/>
      <c r="CR534" s="129"/>
      <c r="CT534" s="132"/>
      <c r="CU534" s="128"/>
      <c r="CV534" s="129"/>
      <c r="CX534" s="132"/>
      <c r="CY534" s="128"/>
      <c r="CZ534" s="129"/>
      <c r="DB534" s="132"/>
      <c r="DC534" s="128"/>
      <c r="DD534" s="129"/>
      <c r="DF534" s="132"/>
      <c r="DG534" s="85"/>
      <c r="DH534" s="85"/>
      <c r="DI534" s="84"/>
      <c r="DK534" s="84"/>
      <c r="DP534" s="84"/>
      <c r="DU534" s="84"/>
      <c r="DY534" s="84"/>
      <c r="EC534" s="84"/>
      <c r="EG534" s="84"/>
      <c r="EK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128"/>
      <c r="AA535" s="129"/>
      <c r="AC535" s="130"/>
      <c r="AD535" s="128"/>
      <c r="AE535" s="129"/>
      <c r="AG535" s="130"/>
      <c r="AH535" s="128"/>
      <c r="AI535" s="129"/>
      <c r="AK535" s="130"/>
      <c r="AL535" s="128"/>
      <c r="AM535" s="129"/>
      <c r="AO535" s="130"/>
      <c r="AP535" s="128"/>
      <c r="AQ535" s="129"/>
      <c r="AS535" s="130"/>
      <c r="AT535" s="128"/>
      <c r="AU535" s="129"/>
      <c r="AW535" s="130"/>
      <c r="AX535" s="85"/>
      <c r="AY535" s="84"/>
      <c r="AZ535" s="84"/>
      <c r="BA535" s="131"/>
      <c r="BB535" s="84"/>
      <c r="BE535" s="84"/>
      <c r="BI535" s="86"/>
      <c r="BO535" s="84"/>
      <c r="BT535" s="84"/>
      <c r="BY535" s="84"/>
      <c r="CD535" s="84"/>
      <c r="CI535" s="128"/>
      <c r="CJ535" s="129"/>
      <c r="CL535" s="132"/>
      <c r="CM535" s="128"/>
      <c r="CN535" s="129"/>
      <c r="CP535" s="132"/>
      <c r="CQ535" s="128"/>
      <c r="CR535" s="129"/>
      <c r="CT535" s="132"/>
      <c r="CU535" s="128"/>
      <c r="CV535" s="129"/>
      <c r="CX535" s="132"/>
      <c r="CY535" s="128"/>
      <c r="CZ535" s="129"/>
      <c r="DB535" s="132"/>
      <c r="DC535" s="128"/>
      <c r="DD535" s="129"/>
      <c r="DF535" s="132"/>
      <c r="DG535" s="85"/>
      <c r="DH535" s="85"/>
      <c r="DI535" s="84"/>
      <c r="DK535" s="84"/>
      <c r="DP535" s="84"/>
      <c r="DU535" s="84"/>
      <c r="DY535" s="84"/>
      <c r="EC535" s="84"/>
      <c r="EG535" s="84"/>
      <c r="EK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128"/>
      <c r="AA536" s="129"/>
      <c r="AC536" s="130"/>
      <c r="AD536" s="128"/>
      <c r="AE536" s="129"/>
      <c r="AG536" s="130"/>
      <c r="AH536" s="128"/>
      <c r="AI536" s="129"/>
      <c r="AK536" s="130"/>
      <c r="AL536" s="128"/>
      <c r="AM536" s="129"/>
      <c r="AO536" s="130"/>
      <c r="AP536" s="128"/>
      <c r="AQ536" s="129"/>
      <c r="AS536" s="130"/>
      <c r="AT536" s="128"/>
      <c r="AU536" s="129"/>
      <c r="AW536" s="130"/>
      <c r="AX536" s="85"/>
      <c r="AY536" s="84"/>
      <c r="AZ536" s="84"/>
      <c r="BA536" s="131"/>
      <c r="BB536" s="84"/>
      <c r="BE536" s="84"/>
      <c r="BI536" s="86"/>
      <c r="BO536" s="84"/>
      <c r="BT536" s="84"/>
      <c r="BY536" s="84"/>
      <c r="CD536" s="84"/>
      <c r="CI536" s="128"/>
      <c r="CJ536" s="129"/>
      <c r="CL536" s="132"/>
      <c r="CM536" s="128"/>
      <c r="CN536" s="129"/>
      <c r="CP536" s="132"/>
      <c r="CQ536" s="128"/>
      <c r="CR536" s="129"/>
      <c r="CT536" s="132"/>
      <c r="CU536" s="128"/>
      <c r="CV536" s="129"/>
      <c r="CX536" s="132"/>
      <c r="CY536" s="128"/>
      <c r="CZ536" s="129"/>
      <c r="DB536" s="132"/>
      <c r="DC536" s="128"/>
      <c r="DD536" s="129"/>
      <c r="DF536" s="132"/>
      <c r="DG536" s="85"/>
      <c r="DH536" s="85"/>
      <c r="DI536" s="84"/>
      <c r="DK536" s="84"/>
      <c r="DP536" s="84"/>
      <c r="DU536" s="84"/>
      <c r="DY536" s="84"/>
      <c r="EC536" s="84"/>
      <c r="EG536" s="84"/>
      <c r="EK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128"/>
      <c r="AA537" s="129"/>
      <c r="AC537" s="130"/>
      <c r="AD537" s="128"/>
      <c r="AE537" s="129"/>
      <c r="AG537" s="130"/>
      <c r="AH537" s="128"/>
      <c r="AI537" s="129"/>
      <c r="AK537" s="130"/>
      <c r="AL537" s="128"/>
      <c r="AM537" s="129"/>
      <c r="AO537" s="130"/>
      <c r="AP537" s="128"/>
      <c r="AQ537" s="129"/>
      <c r="AS537" s="130"/>
      <c r="AT537" s="128"/>
      <c r="AU537" s="129"/>
      <c r="AW537" s="130"/>
      <c r="AX537" s="85"/>
      <c r="AY537" s="84"/>
      <c r="AZ537" s="84"/>
      <c r="BA537" s="131"/>
      <c r="BB537" s="84"/>
      <c r="BE537" s="84"/>
      <c r="BI537" s="86"/>
      <c r="BO537" s="84"/>
      <c r="BT537" s="84"/>
      <c r="BY537" s="84"/>
      <c r="CD537" s="84"/>
      <c r="CI537" s="128"/>
      <c r="CJ537" s="129"/>
      <c r="CL537" s="132"/>
      <c r="CM537" s="128"/>
      <c r="CN537" s="129"/>
      <c r="CP537" s="132"/>
      <c r="CQ537" s="128"/>
      <c r="CR537" s="129"/>
      <c r="CT537" s="132"/>
      <c r="CU537" s="128"/>
      <c r="CV537" s="129"/>
      <c r="CX537" s="132"/>
      <c r="CY537" s="128"/>
      <c r="CZ537" s="129"/>
      <c r="DB537" s="132"/>
      <c r="DC537" s="128"/>
      <c r="DD537" s="129"/>
      <c r="DF537" s="132"/>
      <c r="DG537" s="85"/>
      <c r="DH537" s="85"/>
      <c r="DI537" s="84"/>
      <c r="DK537" s="84"/>
      <c r="DP537" s="84"/>
      <c r="DU537" s="84"/>
      <c r="DY537" s="84"/>
      <c r="EC537" s="84"/>
      <c r="EG537" s="84"/>
      <c r="EK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128"/>
      <c r="AA538" s="129"/>
      <c r="AC538" s="130"/>
      <c r="AD538" s="128"/>
      <c r="AE538" s="129"/>
      <c r="AG538" s="130"/>
      <c r="AH538" s="128"/>
      <c r="AI538" s="129"/>
      <c r="AK538" s="130"/>
      <c r="AL538" s="128"/>
      <c r="AM538" s="129"/>
      <c r="AO538" s="130"/>
      <c r="AP538" s="128"/>
      <c r="AQ538" s="129"/>
      <c r="AS538" s="130"/>
      <c r="AT538" s="128"/>
      <c r="AU538" s="129"/>
      <c r="AW538" s="130"/>
      <c r="AX538" s="85"/>
      <c r="AY538" s="84"/>
      <c r="AZ538" s="84"/>
      <c r="BA538" s="131"/>
      <c r="BB538" s="84"/>
      <c r="BE538" s="84"/>
      <c r="BI538" s="86"/>
      <c r="BO538" s="84"/>
      <c r="BT538" s="84"/>
      <c r="BY538" s="84"/>
      <c r="CD538" s="84"/>
      <c r="CI538" s="128"/>
      <c r="CJ538" s="129"/>
      <c r="CL538" s="132"/>
      <c r="CM538" s="128"/>
      <c r="CN538" s="129"/>
      <c r="CP538" s="132"/>
      <c r="CQ538" s="128"/>
      <c r="CR538" s="129"/>
      <c r="CT538" s="132"/>
      <c r="CU538" s="128"/>
      <c r="CV538" s="129"/>
      <c r="CX538" s="132"/>
      <c r="CY538" s="128"/>
      <c r="CZ538" s="129"/>
      <c r="DB538" s="132"/>
      <c r="DC538" s="128"/>
      <c r="DD538" s="129"/>
      <c r="DF538" s="132"/>
      <c r="DG538" s="85"/>
      <c r="DH538" s="85"/>
      <c r="DI538" s="84"/>
      <c r="DK538" s="84"/>
      <c r="DP538" s="84"/>
      <c r="DU538" s="84"/>
      <c r="DY538" s="84"/>
      <c r="EC538" s="84"/>
      <c r="EG538" s="84"/>
      <c r="EK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128"/>
      <c r="AA539" s="129"/>
      <c r="AC539" s="130"/>
      <c r="AD539" s="128"/>
      <c r="AE539" s="129"/>
      <c r="AG539" s="130"/>
      <c r="AH539" s="128"/>
      <c r="AI539" s="129"/>
      <c r="AK539" s="130"/>
      <c r="AL539" s="128"/>
      <c r="AM539" s="129"/>
      <c r="AO539" s="130"/>
      <c r="AP539" s="128"/>
      <c r="AQ539" s="129"/>
      <c r="AS539" s="130"/>
      <c r="AT539" s="128"/>
      <c r="AU539" s="129"/>
      <c r="AW539" s="130"/>
      <c r="AX539" s="85"/>
      <c r="AY539" s="84"/>
      <c r="AZ539" s="84"/>
      <c r="BA539" s="131"/>
      <c r="BB539" s="84"/>
      <c r="BE539" s="84"/>
      <c r="BI539" s="86"/>
      <c r="BO539" s="84"/>
      <c r="BT539" s="84"/>
      <c r="BY539" s="84"/>
      <c r="CD539" s="84"/>
      <c r="CI539" s="128"/>
      <c r="CJ539" s="129"/>
      <c r="CL539" s="132"/>
      <c r="CM539" s="128"/>
      <c r="CN539" s="129"/>
      <c r="CP539" s="132"/>
      <c r="CQ539" s="128"/>
      <c r="CR539" s="129"/>
      <c r="CT539" s="132"/>
      <c r="CU539" s="128"/>
      <c r="CV539" s="129"/>
      <c r="CX539" s="132"/>
      <c r="CY539" s="128"/>
      <c r="CZ539" s="129"/>
      <c r="DB539" s="132"/>
      <c r="DC539" s="128"/>
      <c r="DD539" s="129"/>
      <c r="DF539" s="132"/>
      <c r="DG539" s="85"/>
      <c r="DH539" s="85"/>
      <c r="DI539" s="84"/>
      <c r="DK539" s="84"/>
      <c r="DP539" s="84"/>
      <c r="DU539" s="84"/>
      <c r="DY539" s="84"/>
      <c r="EC539" s="84"/>
      <c r="EG539" s="84"/>
      <c r="EK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128"/>
      <c r="AA540" s="129"/>
      <c r="AC540" s="130"/>
      <c r="AD540" s="128"/>
      <c r="AE540" s="129"/>
      <c r="AG540" s="130"/>
      <c r="AH540" s="128"/>
      <c r="AI540" s="129"/>
      <c r="AK540" s="130"/>
      <c r="AL540" s="128"/>
      <c r="AM540" s="129"/>
      <c r="AO540" s="130"/>
      <c r="AP540" s="128"/>
      <c r="AQ540" s="129"/>
      <c r="AS540" s="130"/>
      <c r="AT540" s="128"/>
      <c r="AU540" s="129"/>
      <c r="AW540" s="130"/>
      <c r="AX540" s="85"/>
      <c r="AY540" s="84"/>
      <c r="AZ540" s="84"/>
      <c r="BA540" s="131"/>
      <c r="BB540" s="84"/>
      <c r="BE540" s="84"/>
      <c r="BI540" s="86"/>
      <c r="BO540" s="84"/>
      <c r="BT540" s="84"/>
      <c r="BY540" s="84"/>
      <c r="CD540" s="84"/>
      <c r="CI540" s="128"/>
      <c r="CJ540" s="129"/>
      <c r="CL540" s="132"/>
      <c r="CM540" s="128"/>
      <c r="CN540" s="129"/>
      <c r="CP540" s="132"/>
      <c r="CQ540" s="128"/>
      <c r="CR540" s="129"/>
      <c r="CT540" s="132"/>
      <c r="CU540" s="128"/>
      <c r="CV540" s="129"/>
      <c r="CX540" s="132"/>
      <c r="CY540" s="128"/>
      <c r="CZ540" s="129"/>
      <c r="DB540" s="132"/>
      <c r="DC540" s="128"/>
      <c r="DD540" s="129"/>
      <c r="DF540" s="132"/>
      <c r="DG540" s="85"/>
      <c r="DH540" s="85"/>
      <c r="DI540" s="84"/>
      <c r="DK540" s="84"/>
      <c r="DP540" s="84"/>
      <c r="DU540" s="84"/>
      <c r="DY540" s="84"/>
      <c r="EC540" s="84"/>
      <c r="EG540" s="84"/>
      <c r="EK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128"/>
      <c r="AA541" s="129"/>
      <c r="AC541" s="130"/>
      <c r="AD541" s="128"/>
      <c r="AE541" s="129"/>
      <c r="AG541" s="130"/>
      <c r="AH541" s="128"/>
      <c r="AI541" s="129"/>
      <c r="AK541" s="130"/>
      <c r="AL541" s="128"/>
      <c r="AM541" s="129"/>
      <c r="AO541" s="130"/>
      <c r="AP541" s="128"/>
      <c r="AQ541" s="129"/>
      <c r="AS541" s="130"/>
      <c r="AT541" s="128"/>
      <c r="AU541" s="129"/>
      <c r="AW541" s="130"/>
      <c r="AX541" s="85"/>
      <c r="AY541" s="84"/>
      <c r="AZ541" s="84"/>
      <c r="BA541" s="131"/>
      <c r="BB541" s="84"/>
      <c r="BE541" s="84"/>
      <c r="BI541" s="86"/>
      <c r="BO541" s="84"/>
      <c r="BT541" s="84"/>
      <c r="BY541" s="84"/>
      <c r="CD541" s="84"/>
      <c r="CI541" s="128"/>
      <c r="CJ541" s="129"/>
      <c r="CL541" s="132"/>
      <c r="CM541" s="128"/>
      <c r="CN541" s="129"/>
      <c r="CP541" s="132"/>
      <c r="CQ541" s="128"/>
      <c r="CR541" s="129"/>
      <c r="CT541" s="132"/>
      <c r="CU541" s="128"/>
      <c r="CV541" s="129"/>
      <c r="CX541" s="132"/>
      <c r="CY541" s="128"/>
      <c r="CZ541" s="129"/>
      <c r="DB541" s="132"/>
      <c r="DC541" s="128"/>
      <c r="DD541" s="129"/>
      <c r="DF541" s="132"/>
      <c r="DG541" s="85"/>
      <c r="DH541" s="85"/>
      <c r="DI541" s="84"/>
      <c r="DK541" s="84"/>
      <c r="DP541" s="84"/>
      <c r="DU541" s="84"/>
      <c r="DY541" s="84"/>
      <c r="EC541" s="84"/>
      <c r="EG541" s="84"/>
      <c r="EK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128"/>
      <c r="AA542" s="129"/>
      <c r="AC542" s="130"/>
      <c r="AD542" s="128"/>
      <c r="AE542" s="129"/>
      <c r="AG542" s="130"/>
      <c r="AH542" s="128"/>
      <c r="AI542" s="129"/>
      <c r="AK542" s="130"/>
      <c r="AL542" s="128"/>
      <c r="AM542" s="129"/>
      <c r="AO542" s="130"/>
      <c r="AP542" s="128"/>
      <c r="AQ542" s="129"/>
      <c r="AS542" s="130"/>
      <c r="AT542" s="128"/>
      <c r="AU542" s="129"/>
      <c r="AW542" s="130"/>
      <c r="AX542" s="85"/>
      <c r="AY542" s="84"/>
      <c r="AZ542" s="84"/>
      <c r="BA542" s="131"/>
      <c r="BB542" s="84"/>
      <c r="BE542" s="84"/>
      <c r="BI542" s="86"/>
      <c r="BO542" s="84"/>
      <c r="BT542" s="84"/>
      <c r="BY542" s="84"/>
      <c r="CD542" s="84"/>
      <c r="CI542" s="128"/>
      <c r="CJ542" s="129"/>
      <c r="CL542" s="132"/>
      <c r="CM542" s="128"/>
      <c r="CN542" s="129"/>
      <c r="CP542" s="132"/>
      <c r="CQ542" s="128"/>
      <c r="CR542" s="129"/>
      <c r="CT542" s="132"/>
      <c r="CU542" s="128"/>
      <c r="CV542" s="129"/>
      <c r="CX542" s="132"/>
      <c r="CY542" s="128"/>
      <c r="CZ542" s="129"/>
      <c r="DB542" s="132"/>
      <c r="DC542" s="128"/>
      <c r="DD542" s="129"/>
      <c r="DF542" s="132"/>
      <c r="DG542" s="85"/>
      <c r="DH542" s="85"/>
      <c r="DI542" s="84"/>
      <c r="DK542" s="84"/>
      <c r="DP542" s="84"/>
      <c r="DU542" s="84"/>
      <c r="DY542" s="84"/>
      <c r="EC542" s="84"/>
      <c r="EG542" s="84"/>
      <c r="EK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128"/>
      <c r="AA543" s="129"/>
      <c r="AC543" s="130"/>
      <c r="AD543" s="128"/>
      <c r="AE543" s="129"/>
      <c r="AG543" s="130"/>
      <c r="AH543" s="128"/>
      <c r="AI543" s="129"/>
      <c r="AK543" s="130"/>
      <c r="AL543" s="128"/>
      <c r="AM543" s="129"/>
      <c r="AO543" s="130"/>
      <c r="AP543" s="128"/>
      <c r="AQ543" s="129"/>
      <c r="AS543" s="130"/>
      <c r="AT543" s="128"/>
      <c r="AU543" s="129"/>
      <c r="AW543" s="130"/>
      <c r="AX543" s="85"/>
      <c r="AY543" s="84"/>
      <c r="AZ543" s="84"/>
      <c r="BA543" s="131"/>
      <c r="BB543" s="84"/>
      <c r="BE543" s="84"/>
      <c r="BI543" s="86"/>
      <c r="BO543" s="84"/>
      <c r="BT543" s="84"/>
      <c r="BY543" s="84"/>
      <c r="CD543" s="84"/>
      <c r="CI543" s="128"/>
      <c r="CJ543" s="129"/>
      <c r="CL543" s="132"/>
      <c r="CM543" s="128"/>
      <c r="CN543" s="129"/>
      <c r="CP543" s="132"/>
      <c r="CQ543" s="128"/>
      <c r="CR543" s="129"/>
      <c r="CT543" s="132"/>
      <c r="CU543" s="128"/>
      <c r="CV543" s="129"/>
      <c r="CX543" s="132"/>
      <c r="CY543" s="128"/>
      <c r="CZ543" s="129"/>
      <c r="DB543" s="132"/>
      <c r="DC543" s="128"/>
      <c r="DD543" s="129"/>
      <c r="DF543" s="132"/>
      <c r="DG543" s="85"/>
      <c r="DH543" s="85"/>
      <c r="DI543" s="84"/>
      <c r="DK543" s="84"/>
      <c r="DP543" s="84"/>
      <c r="DU543" s="84"/>
      <c r="DY543" s="84"/>
      <c r="EC543" s="84"/>
      <c r="EG543" s="84"/>
      <c r="EK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128"/>
      <c r="AA544" s="129"/>
      <c r="AC544" s="130"/>
      <c r="AD544" s="128"/>
      <c r="AE544" s="129"/>
      <c r="AG544" s="130"/>
      <c r="AH544" s="128"/>
      <c r="AI544" s="129"/>
      <c r="AK544" s="130"/>
      <c r="AL544" s="128"/>
      <c r="AM544" s="129"/>
      <c r="AO544" s="130"/>
      <c r="AP544" s="128"/>
      <c r="AQ544" s="129"/>
      <c r="AS544" s="130"/>
      <c r="AT544" s="128"/>
      <c r="AU544" s="129"/>
      <c r="AW544" s="130"/>
      <c r="AX544" s="85"/>
      <c r="AY544" s="84"/>
      <c r="AZ544" s="84"/>
      <c r="BA544" s="131"/>
      <c r="BB544" s="84"/>
      <c r="BE544" s="84"/>
      <c r="BI544" s="86"/>
      <c r="BO544" s="84"/>
      <c r="BT544" s="84"/>
      <c r="BY544" s="84"/>
      <c r="CD544" s="84"/>
      <c r="CI544" s="128"/>
      <c r="CJ544" s="129"/>
      <c r="CL544" s="132"/>
      <c r="CM544" s="128"/>
      <c r="CN544" s="129"/>
      <c r="CP544" s="132"/>
      <c r="CQ544" s="128"/>
      <c r="CR544" s="129"/>
      <c r="CT544" s="132"/>
      <c r="CU544" s="128"/>
      <c r="CV544" s="129"/>
      <c r="CX544" s="132"/>
      <c r="CY544" s="128"/>
      <c r="CZ544" s="129"/>
      <c r="DB544" s="132"/>
      <c r="DC544" s="128"/>
      <c r="DD544" s="129"/>
      <c r="DF544" s="132"/>
      <c r="DG544" s="85"/>
      <c r="DH544" s="85"/>
      <c r="DI544" s="84"/>
      <c r="DK544" s="84"/>
      <c r="DP544" s="84"/>
      <c r="DU544" s="84"/>
      <c r="DY544" s="84"/>
      <c r="EC544" s="84"/>
      <c r="EG544" s="84"/>
      <c r="EK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128"/>
      <c r="AA545" s="129"/>
      <c r="AC545" s="130"/>
      <c r="AD545" s="128"/>
      <c r="AE545" s="129"/>
      <c r="AG545" s="130"/>
      <c r="AH545" s="128"/>
      <c r="AI545" s="129"/>
      <c r="AK545" s="130"/>
      <c r="AL545" s="128"/>
      <c r="AM545" s="129"/>
      <c r="AO545" s="130"/>
      <c r="AP545" s="128"/>
      <c r="AQ545" s="129"/>
      <c r="AS545" s="130"/>
      <c r="AT545" s="128"/>
      <c r="AU545" s="129"/>
      <c r="AW545" s="130"/>
      <c r="AX545" s="85"/>
      <c r="AY545" s="84"/>
      <c r="AZ545" s="84"/>
      <c r="BA545" s="131"/>
      <c r="BB545" s="84"/>
      <c r="BE545" s="84"/>
      <c r="BI545" s="86"/>
      <c r="BO545" s="84"/>
      <c r="BT545" s="84"/>
      <c r="BY545" s="84"/>
      <c r="CD545" s="84"/>
      <c r="CI545" s="128"/>
      <c r="CJ545" s="129"/>
      <c r="CL545" s="132"/>
      <c r="CM545" s="128"/>
      <c r="CN545" s="129"/>
      <c r="CP545" s="132"/>
      <c r="CQ545" s="128"/>
      <c r="CR545" s="129"/>
      <c r="CT545" s="132"/>
      <c r="CU545" s="128"/>
      <c r="CV545" s="129"/>
      <c r="CX545" s="132"/>
      <c r="CY545" s="128"/>
      <c r="CZ545" s="129"/>
      <c r="DB545" s="132"/>
      <c r="DC545" s="128"/>
      <c r="DD545" s="129"/>
      <c r="DF545" s="132"/>
      <c r="DG545" s="85"/>
      <c r="DH545" s="85"/>
      <c r="DI545" s="84"/>
      <c r="DK545" s="84"/>
      <c r="DP545" s="84"/>
      <c r="DU545" s="84"/>
      <c r="DY545" s="84"/>
      <c r="EC545" s="84"/>
      <c r="EG545" s="84"/>
      <c r="EK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128"/>
      <c r="AA546" s="129"/>
      <c r="AC546" s="130"/>
      <c r="AD546" s="128"/>
      <c r="AE546" s="129"/>
      <c r="AG546" s="130"/>
      <c r="AH546" s="128"/>
      <c r="AI546" s="129"/>
      <c r="AK546" s="130"/>
      <c r="AL546" s="128"/>
      <c r="AM546" s="129"/>
      <c r="AO546" s="130"/>
      <c r="AP546" s="128"/>
      <c r="AQ546" s="129"/>
      <c r="AS546" s="130"/>
      <c r="AT546" s="128"/>
      <c r="AU546" s="129"/>
      <c r="AW546" s="130"/>
      <c r="AX546" s="85"/>
      <c r="AY546" s="84"/>
      <c r="AZ546" s="84"/>
      <c r="BA546" s="131"/>
      <c r="BB546" s="84"/>
      <c r="BE546" s="84"/>
      <c r="BI546" s="86"/>
      <c r="BO546" s="84"/>
      <c r="BT546" s="84"/>
      <c r="BY546" s="84"/>
      <c r="CD546" s="84"/>
      <c r="CI546" s="128"/>
      <c r="CJ546" s="129"/>
      <c r="CL546" s="132"/>
      <c r="CM546" s="128"/>
      <c r="CN546" s="129"/>
      <c r="CP546" s="132"/>
      <c r="CQ546" s="128"/>
      <c r="CR546" s="129"/>
      <c r="CT546" s="132"/>
      <c r="CU546" s="128"/>
      <c r="CV546" s="129"/>
      <c r="CX546" s="132"/>
      <c r="CY546" s="128"/>
      <c r="CZ546" s="129"/>
      <c r="DB546" s="132"/>
      <c r="DC546" s="128"/>
      <c r="DD546" s="129"/>
      <c r="DF546" s="132"/>
      <c r="DG546" s="85"/>
      <c r="DH546" s="85"/>
      <c r="DI546" s="84"/>
      <c r="DK546" s="84"/>
      <c r="DP546" s="84"/>
      <c r="DU546" s="84"/>
      <c r="DY546" s="84"/>
      <c r="EC546" s="84"/>
      <c r="EG546" s="84"/>
      <c r="EK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128"/>
      <c r="AA547" s="129"/>
      <c r="AC547" s="130"/>
      <c r="AD547" s="128"/>
      <c r="AE547" s="129"/>
      <c r="AG547" s="130"/>
      <c r="AH547" s="128"/>
      <c r="AI547" s="129"/>
      <c r="AK547" s="130"/>
      <c r="AL547" s="128"/>
      <c r="AM547" s="129"/>
      <c r="AO547" s="130"/>
      <c r="AP547" s="128"/>
      <c r="AQ547" s="129"/>
      <c r="AS547" s="130"/>
      <c r="AT547" s="128"/>
      <c r="AU547" s="129"/>
      <c r="AW547" s="130"/>
      <c r="AX547" s="85"/>
      <c r="AY547" s="84"/>
      <c r="AZ547" s="84"/>
      <c r="BA547" s="131"/>
      <c r="BB547" s="84"/>
      <c r="BE547" s="84"/>
      <c r="BI547" s="86"/>
      <c r="BO547" s="84"/>
      <c r="BT547" s="84"/>
      <c r="BY547" s="84"/>
      <c r="CD547" s="84"/>
      <c r="CI547" s="128"/>
      <c r="CJ547" s="129"/>
      <c r="CL547" s="132"/>
      <c r="CM547" s="128"/>
      <c r="CN547" s="129"/>
      <c r="CP547" s="132"/>
      <c r="CQ547" s="128"/>
      <c r="CR547" s="129"/>
      <c r="CT547" s="132"/>
      <c r="CU547" s="128"/>
      <c r="CV547" s="129"/>
      <c r="CX547" s="132"/>
      <c r="CY547" s="128"/>
      <c r="CZ547" s="129"/>
      <c r="DB547" s="132"/>
      <c r="DC547" s="128"/>
      <c r="DD547" s="129"/>
      <c r="DF547" s="132"/>
      <c r="DG547" s="85"/>
      <c r="DH547" s="85"/>
      <c r="DI547" s="84"/>
      <c r="DK547" s="84"/>
      <c r="DP547" s="84"/>
      <c r="DU547" s="84"/>
      <c r="DY547" s="84"/>
      <c r="EC547" s="84"/>
      <c r="EG547" s="84"/>
      <c r="EK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128"/>
      <c r="AA548" s="129"/>
      <c r="AC548" s="130"/>
      <c r="AD548" s="128"/>
      <c r="AE548" s="129"/>
      <c r="AG548" s="130"/>
      <c r="AH548" s="128"/>
      <c r="AI548" s="129"/>
      <c r="AK548" s="130"/>
      <c r="AL548" s="128"/>
      <c r="AM548" s="129"/>
      <c r="AO548" s="130"/>
      <c r="AP548" s="128"/>
      <c r="AQ548" s="129"/>
      <c r="AS548" s="130"/>
      <c r="AT548" s="128"/>
      <c r="AU548" s="129"/>
      <c r="AW548" s="130"/>
      <c r="AX548" s="85"/>
      <c r="AY548" s="84"/>
      <c r="AZ548" s="84"/>
      <c r="BA548" s="131"/>
      <c r="BB548" s="84"/>
      <c r="BE548" s="84"/>
      <c r="BI548" s="86"/>
      <c r="BO548" s="84"/>
      <c r="BT548" s="84"/>
      <c r="BY548" s="84"/>
      <c r="CD548" s="84"/>
      <c r="CI548" s="128"/>
      <c r="CJ548" s="129"/>
      <c r="CL548" s="132"/>
      <c r="CM548" s="128"/>
      <c r="CN548" s="129"/>
      <c r="CP548" s="132"/>
      <c r="CQ548" s="128"/>
      <c r="CR548" s="129"/>
      <c r="CT548" s="132"/>
      <c r="CU548" s="128"/>
      <c r="CV548" s="129"/>
      <c r="CX548" s="132"/>
      <c r="CY548" s="128"/>
      <c r="CZ548" s="129"/>
      <c r="DB548" s="132"/>
      <c r="DC548" s="128"/>
      <c r="DD548" s="129"/>
      <c r="DF548" s="132"/>
      <c r="DG548" s="85"/>
      <c r="DH548" s="85"/>
      <c r="DI548" s="84"/>
      <c r="DK548" s="84"/>
      <c r="DP548" s="84"/>
      <c r="DU548" s="84"/>
      <c r="DY548" s="84"/>
      <c r="EC548" s="84"/>
      <c r="EG548" s="84"/>
      <c r="EK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128"/>
      <c r="AA549" s="129"/>
      <c r="AC549" s="130"/>
      <c r="AD549" s="128"/>
      <c r="AE549" s="129"/>
      <c r="AG549" s="130"/>
      <c r="AH549" s="128"/>
      <c r="AI549" s="129"/>
      <c r="AK549" s="130"/>
      <c r="AL549" s="128"/>
      <c r="AM549" s="129"/>
      <c r="AO549" s="130"/>
      <c r="AP549" s="128"/>
      <c r="AQ549" s="129"/>
      <c r="AS549" s="130"/>
      <c r="AT549" s="128"/>
      <c r="AU549" s="129"/>
      <c r="AW549" s="130"/>
      <c r="AX549" s="85"/>
      <c r="AY549" s="84"/>
      <c r="AZ549" s="84"/>
      <c r="BA549" s="131"/>
      <c r="BB549" s="84"/>
      <c r="BE549" s="84"/>
      <c r="BI549" s="86"/>
      <c r="BO549" s="84"/>
      <c r="BT549" s="84"/>
      <c r="BY549" s="84"/>
      <c r="CD549" s="84"/>
      <c r="CI549" s="128"/>
      <c r="CJ549" s="129"/>
      <c r="CL549" s="132"/>
      <c r="CM549" s="128"/>
      <c r="CN549" s="129"/>
      <c r="CP549" s="132"/>
      <c r="CQ549" s="128"/>
      <c r="CR549" s="129"/>
      <c r="CT549" s="132"/>
      <c r="CU549" s="128"/>
      <c r="CV549" s="129"/>
      <c r="CX549" s="132"/>
      <c r="CY549" s="128"/>
      <c r="CZ549" s="129"/>
      <c r="DB549" s="132"/>
      <c r="DC549" s="128"/>
      <c r="DD549" s="129"/>
      <c r="DF549" s="132"/>
      <c r="DG549" s="85"/>
      <c r="DH549" s="85"/>
      <c r="DI549" s="84"/>
      <c r="DK549" s="84"/>
      <c r="DP549" s="84"/>
      <c r="DU549" s="84"/>
      <c r="DY549" s="84"/>
      <c r="EC549" s="84"/>
      <c r="EG549" s="84"/>
      <c r="EK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128"/>
      <c r="AA550" s="129"/>
      <c r="AC550" s="130"/>
      <c r="AD550" s="128"/>
      <c r="AE550" s="129"/>
      <c r="AG550" s="130"/>
      <c r="AH550" s="128"/>
      <c r="AI550" s="129"/>
      <c r="AK550" s="130"/>
      <c r="AL550" s="128"/>
      <c r="AM550" s="129"/>
      <c r="AO550" s="130"/>
      <c r="AP550" s="128"/>
      <c r="AQ550" s="129"/>
      <c r="AS550" s="130"/>
      <c r="AT550" s="128"/>
      <c r="AU550" s="129"/>
      <c r="AW550" s="130"/>
      <c r="AX550" s="85"/>
      <c r="AY550" s="84"/>
      <c r="AZ550" s="84"/>
      <c r="BA550" s="131"/>
      <c r="BB550" s="84"/>
      <c r="BE550" s="84"/>
      <c r="BI550" s="86"/>
      <c r="BO550" s="84"/>
      <c r="BT550" s="84"/>
      <c r="BY550" s="84"/>
      <c r="CD550" s="84"/>
      <c r="CI550" s="128"/>
      <c r="CJ550" s="129"/>
      <c r="CL550" s="132"/>
      <c r="CM550" s="128"/>
      <c r="CN550" s="129"/>
      <c r="CP550" s="132"/>
      <c r="CQ550" s="128"/>
      <c r="CR550" s="129"/>
      <c r="CT550" s="132"/>
      <c r="CU550" s="128"/>
      <c r="CV550" s="129"/>
      <c r="CX550" s="132"/>
      <c r="CY550" s="128"/>
      <c r="CZ550" s="129"/>
      <c r="DB550" s="132"/>
      <c r="DC550" s="128"/>
      <c r="DD550" s="129"/>
      <c r="DF550" s="132"/>
      <c r="DG550" s="85"/>
      <c r="DH550" s="85"/>
      <c r="DI550" s="84"/>
      <c r="DK550" s="84"/>
      <c r="DP550" s="84"/>
      <c r="DU550" s="84"/>
      <c r="DY550" s="84"/>
      <c r="EC550" s="84"/>
      <c r="EG550" s="84"/>
      <c r="EK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128"/>
      <c r="AA551" s="129"/>
      <c r="AC551" s="130"/>
      <c r="AD551" s="128"/>
      <c r="AE551" s="129"/>
      <c r="AG551" s="130"/>
      <c r="AH551" s="128"/>
      <c r="AI551" s="129"/>
      <c r="AK551" s="130"/>
      <c r="AL551" s="128"/>
      <c r="AM551" s="129"/>
      <c r="AO551" s="130"/>
      <c r="AP551" s="128"/>
      <c r="AQ551" s="129"/>
      <c r="AS551" s="130"/>
      <c r="AT551" s="128"/>
      <c r="AU551" s="129"/>
      <c r="AW551" s="130"/>
      <c r="AX551" s="85"/>
      <c r="AY551" s="84"/>
      <c r="AZ551" s="84"/>
      <c r="BA551" s="131"/>
      <c r="BB551" s="84"/>
      <c r="BE551" s="84"/>
      <c r="BI551" s="86"/>
      <c r="BO551" s="84"/>
      <c r="BT551" s="84"/>
      <c r="BY551" s="84"/>
      <c r="CD551" s="84"/>
      <c r="CI551" s="128"/>
      <c r="CJ551" s="129"/>
      <c r="CL551" s="132"/>
      <c r="CM551" s="128"/>
      <c r="CN551" s="129"/>
      <c r="CP551" s="132"/>
      <c r="CQ551" s="128"/>
      <c r="CR551" s="129"/>
      <c r="CT551" s="132"/>
      <c r="CU551" s="128"/>
      <c r="CV551" s="129"/>
      <c r="CX551" s="132"/>
      <c r="CY551" s="128"/>
      <c r="CZ551" s="129"/>
      <c r="DB551" s="132"/>
      <c r="DC551" s="128"/>
      <c r="DD551" s="129"/>
      <c r="DF551" s="132"/>
      <c r="DG551" s="85"/>
      <c r="DH551" s="85"/>
      <c r="DI551" s="84"/>
      <c r="DK551" s="84"/>
      <c r="DP551" s="84"/>
      <c r="DU551" s="84"/>
      <c r="DY551" s="84"/>
      <c r="EC551" s="84"/>
      <c r="EG551" s="84"/>
      <c r="EK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128"/>
      <c r="AA552" s="129"/>
      <c r="AC552" s="130"/>
      <c r="AD552" s="128"/>
      <c r="AE552" s="129"/>
      <c r="AG552" s="130"/>
      <c r="AH552" s="128"/>
      <c r="AI552" s="129"/>
      <c r="AK552" s="130"/>
      <c r="AL552" s="128"/>
      <c r="AM552" s="129"/>
      <c r="AO552" s="130"/>
      <c r="AP552" s="128"/>
      <c r="AQ552" s="129"/>
      <c r="AS552" s="130"/>
      <c r="AT552" s="128"/>
      <c r="AU552" s="129"/>
      <c r="AW552" s="130"/>
      <c r="AX552" s="85"/>
      <c r="AY552" s="84"/>
      <c r="AZ552" s="84"/>
      <c r="BA552" s="131"/>
      <c r="BB552" s="84"/>
      <c r="BE552" s="84"/>
      <c r="BI552" s="86"/>
      <c r="BO552" s="84"/>
      <c r="BT552" s="84"/>
      <c r="BY552" s="84"/>
      <c r="CD552" s="84"/>
      <c r="CI552" s="128"/>
      <c r="CJ552" s="129"/>
      <c r="CL552" s="132"/>
      <c r="CM552" s="128"/>
      <c r="CN552" s="129"/>
      <c r="CP552" s="132"/>
      <c r="CQ552" s="128"/>
      <c r="CR552" s="129"/>
      <c r="CT552" s="132"/>
      <c r="CU552" s="128"/>
      <c r="CV552" s="129"/>
      <c r="CX552" s="132"/>
      <c r="CY552" s="128"/>
      <c r="CZ552" s="129"/>
      <c r="DB552" s="132"/>
      <c r="DC552" s="128"/>
      <c r="DD552" s="129"/>
      <c r="DF552" s="132"/>
      <c r="DG552" s="85"/>
      <c r="DH552" s="85"/>
      <c r="DI552" s="84"/>
      <c r="DK552" s="84"/>
      <c r="DP552" s="84"/>
      <c r="DU552" s="84"/>
      <c r="DY552" s="84"/>
      <c r="EC552" s="84"/>
      <c r="EG552" s="84"/>
      <c r="EK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128"/>
      <c r="AA553" s="129"/>
      <c r="AC553" s="130"/>
      <c r="AD553" s="128"/>
      <c r="AE553" s="129"/>
      <c r="AG553" s="130"/>
      <c r="AH553" s="128"/>
      <c r="AI553" s="129"/>
      <c r="AK553" s="130"/>
      <c r="AL553" s="128"/>
      <c r="AM553" s="129"/>
      <c r="AO553" s="130"/>
      <c r="AP553" s="128"/>
      <c r="AQ553" s="129"/>
      <c r="AS553" s="130"/>
      <c r="AT553" s="128"/>
      <c r="AU553" s="129"/>
      <c r="AW553" s="130"/>
      <c r="AX553" s="85"/>
      <c r="AY553" s="84"/>
      <c r="AZ553" s="84"/>
      <c r="BA553" s="131"/>
      <c r="BB553" s="84"/>
      <c r="BE553" s="84"/>
      <c r="BI553" s="86"/>
      <c r="BO553" s="84"/>
      <c r="BT553" s="84"/>
      <c r="BY553" s="84"/>
      <c r="CD553" s="84"/>
      <c r="CI553" s="128"/>
      <c r="CJ553" s="129"/>
      <c r="CL553" s="132"/>
      <c r="CM553" s="128"/>
      <c r="CN553" s="129"/>
      <c r="CP553" s="132"/>
      <c r="CQ553" s="128"/>
      <c r="CR553" s="129"/>
      <c r="CT553" s="132"/>
      <c r="CU553" s="128"/>
      <c r="CV553" s="129"/>
      <c r="CX553" s="132"/>
      <c r="CY553" s="128"/>
      <c r="CZ553" s="129"/>
      <c r="DB553" s="132"/>
      <c r="DC553" s="128"/>
      <c r="DD553" s="129"/>
      <c r="DF553" s="132"/>
      <c r="DG553" s="85"/>
      <c r="DH553" s="85"/>
      <c r="DI553" s="84"/>
      <c r="DK553" s="84"/>
      <c r="DP553" s="84"/>
      <c r="DU553" s="84"/>
      <c r="DY553" s="84"/>
      <c r="EC553" s="84"/>
      <c r="EG553" s="84"/>
      <c r="EK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128"/>
      <c r="AA554" s="129"/>
      <c r="AC554" s="130"/>
      <c r="AD554" s="128"/>
      <c r="AE554" s="129"/>
      <c r="AG554" s="130"/>
      <c r="AH554" s="128"/>
      <c r="AI554" s="129"/>
      <c r="AK554" s="130"/>
      <c r="AL554" s="128"/>
      <c r="AM554" s="129"/>
      <c r="AO554" s="130"/>
      <c r="AP554" s="128"/>
      <c r="AQ554" s="129"/>
      <c r="AS554" s="130"/>
      <c r="AT554" s="128"/>
      <c r="AU554" s="129"/>
      <c r="AW554" s="130"/>
      <c r="AX554" s="85"/>
      <c r="AY554" s="84"/>
      <c r="AZ554" s="84"/>
      <c r="BA554" s="131"/>
      <c r="BB554" s="84"/>
      <c r="BE554" s="84"/>
      <c r="BI554" s="86"/>
      <c r="BO554" s="84"/>
      <c r="BT554" s="84"/>
      <c r="BY554" s="84"/>
      <c r="CD554" s="84"/>
      <c r="CI554" s="128"/>
      <c r="CJ554" s="129"/>
      <c r="CL554" s="132"/>
      <c r="CM554" s="128"/>
      <c r="CN554" s="129"/>
      <c r="CP554" s="132"/>
      <c r="CQ554" s="128"/>
      <c r="CR554" s="129"/>
      <c r="CT554" s="132"/>
      <c r="CU554" s="128"/>
      <c r="CV554" s="129"/>
      <c r="CX554" s="132"/>
      <c r="CY554" s="128"/>
      <c r="CZ554" s="129"/>
      <c r="DB554" s="132"/>
      <c r="DC554" s="128"/>
      <c r="DD554" s="129"/>
      <c r="DF554" s="132"/>
      <c r="DG554" s="85"/>
      <c r="DH554" s="85"/>
      <c r="DI554" s="84"/>
      <c r="DK554" s="84"/>
      <c r="DP554" s="84"/>
      <c r="DU554" s="84"/>
      <c r="DY554" s="84"/>
      <c r="EC554" s="84"/>
      <c r="EG554" s="84"/>
      <c r="EK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128"/>
      <c r="AA555" s="129"/>
      <c r="AC555" s="130"/>
      <c r="AD555" s="128"/>
      <c r="AE555" s="129"/>
      <c r="AG555" s="130"/>
      <c r="AH555" s="128"/>
      <c r="AI555" s="129"/>
      <c r="AK555" s="130"/>
      <c r="AL555" s="128"/>
      <c r="AM555" s="129"/>
      <c r="AO555" s="130"/>
      <c r="AP555" s="128"/>
      <c r="AQ555" s="129"/>
      <c r="AS555" s="130"/>
      <c r="AT555" s="128"/>
      <c r="AU555" s="129"/>
      <c r="AW555" s="130"/>
      <c r="AX555" s="85"/>
      <c r="AY555" s="84"/>
      <c r="AZ555" s="84"/>
      <c r="BA555" s="131"/>
      <c r="BB555" s="84"/>
      <c r="BE555" s="84"/>
      <c r="BI555" s="86"/>
      <c r="BO555" s="84"/>
      <c r="BT555" s="84"/>
      <c r="BY555" s="84"/>
      <c r="CD555" s="84"/>
      <c r="CI555" s="128"/>
      <c r="CJ555" s="129"/>
      <c r="CL555" s="132"/>
      <c r="CM555" s="128"/>
      <c r="CN555" s="129"/>
      <c r="CP555" s="132"/>
      <c r="CQ555" s="128"/>
      <c r="CR555" s="129"/>
      <c r="CT555" s="132"/>
      <c r="CU555" s="128"/>
      <c r="CV555" s="129"/>
      <c r="CX555" s="132"/>
      <c r="CY555" s="128"/>
      <c r="CZ555" s="129"/>
      <c r="DB555" s="132"/>
      <c r="DC555" s="128"/>
      <c r="DD555" s="129"/>
      <c r="DF555" s="132"/>
      <c r="DG555" s="85"/>
      <c r="DH555" s="85"/>
      <c r="DI555" s="84"/>
      <c r="DK555" s="84"/>
      <c r="DP555" s="84"/>
      <c r="DU555" s="84"/>
      <c r="DY555" s="84"/>
      <c r="EC555" s="84"/>
      <c r="EG555" s="84"/>
      <c r="EK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128"/>
      <c r="AA556" s="129"/>
      <c r="AC556" s="130"/>
      <c r="AD556" s="128"/>
      <c r="AE556" s="129"/>
      <c r="AG556" s="130"/>
      <c r="AH556" s="128"/>
      <c r="AI556" s="129"/>
      <c r="AK556" s="130"/>
      <c r="AL556" s="128"/>
      <c r="AM556" s="129"/>
      <c r="AO556" s="130"/>
      <c r="AP556" s="128"/>
      <c r="AQ556" s="129"/>
      <c r="AS556" s="130"/>
      <c r="AT556" s="128"/>
      <c r="AU556" s="129"/>
      <c r="AW556" s="130"/>
      <c r="AX556" s="85"/>
      <c r="AY556" s="84"/>
      <c r="AZ556" s="84"/>
      <c r="BA556" s="131"/>
      <c r="BB556" s="84"/>
      <c r="BE556" s="84"/>
      <c r="BI556" s="86"/>
      <c r="BO556" s="84"/>
      <c r="BT556" s="84"/>
      <c r="BY556" s="84"/>
      <c r="CD556" s="84"/>
      <c r="CI556" s="128"/>
      <c r="CJ556" s="129"/>
      <c r="CL556" s="132"/>
      <c r="CM556" s="128"/>
      <c r="CN556" s="129"/>
      <c r="CP556" s="132"/>
      <c r="CQ556" s="128"/>
      <c r="CR556" s="129"/>
      <c r="CT556" s="132"/>
      <c r="CU556" s="128"/>
      <c r="CV556" s="129"/>
      <c r="CX556" s="132"/>
      <c r="CY556" s="128"/>
      <c r="CZ556" s="129"/>
      <c r="DB556" s="132"/>
      <c r="DC556" s="128"/>
      <c r="DD556" s="129"/>
      <c r="DF556" s="132"/>
      <c r="DG556" s="85"/>
      <c r="DH556" s="85"/>
      <c r="DI556" s="84"/>
      <c r="DK556" s="84"/>
      <c r="DP556" s="84"/>
      <c r="DU556" s="84"/>
      <c r="DY556" s="84"/>
      <c r="EC556" s="84"/>
      <c r="EG556" s="84"/>
      <c r="EK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128"/>
      <c r="AA557" s="129"/>
      <c r="AC557" s="130"/>
      <c r="AD557" s="128"/>
      <c r="AE557" s="129"/>
      <c r="AG557" s="130"/>
      <c r="AH557" s="128"/>
      <c r="AI557" s="129"/>
      <c r="AK557" s="130"/>
      <c r="AL557" s="128"/>
      <c r="AM557" s="129"/>
      <c r="AO557" s="130"/>
      <c r="AP557" s="128"/>
      <c r="AQ557" s="129"/>
      <c r="AS557" s="130"/>
      <c r="AT557" s="128"/>
      <c r="AU557" s="129"/>
      <c r="AW557" s="130"/>
      <c r="AX557" s="85"/>
      <c r="AY557" s="84"/>
      <c r="AZ557" s="84"/>
      <c r="BA557" s="131"/>
      <c r="BB557" s="84"/>
      <c r="BE557" s="84"/>
      <c r="BI557" s="86"/>
      <c r="BO557" s="84"/>
      <c r="BT557" s="84"/>
      <c r="BY557" s="84"/>
      <c r="CD557" s="84"/>
      <c r="CI557" s="128"/>
      <c r="CJ557" s="129"/>
      <c r="CL557" s="132"/>
      <c r="CM557" s="128"/>
      <c r="CN557" s="129"/>
      <c r="CP557" s="132"/>
      <c r="CQ557" s="128"/>
      <c r="CR557" s="129"/>
      <c r="CT557" s="132"/>
      <c r="CU557" s="128"/>
      <c r="CV557" s="129"/>
      <c r="CX557" s="132"/>
      <c r="CY557" s="128"/>
      <c r="CZ557" s="129"/>
      <c r="DB557" s="132"/>
      <c r="DC557" s="128"/>
      <c r="DD557" s="129"/>
      <c r="DF557" s="132"/>
      <c r="DG557" s="85"/>
      <c r="DH557" s="85"/>
      <c r="DI557" s="84"/>
      <c r="DK557" s="84"/>
      <c r="DP557" s="84"/>
      <c r="DU557" s="84"/>
      <c r="DY557" s="84"/>
      <c r="EC557" s="84"/>
      <c r="EG557" s="84"/>
      <c r="EK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128"/>
      <c r="AA558" s="129"/>
      <c r="AC558" s="130"/>
      <c r="AD558" s="128"/>
      <c r="AE558" s="129"/>
      <c r="AG558" s="130"/>
      <c r="AH558" s="128"/>
      <c r="AI558" s="129"/>
      <c r="AK558" s="130"/>
      <c r="AL558" s="128"/>
      <c r="AM558" s="129"/>
      <c r="AO558" s="130"/>
      <c r="AP558" s="128"/>
      <c r="AQ558" s="129"/>
      <c r="AS558" s="130"/>
      <c r="AT558" s="128"/>
      <c r="AU558" s="129"/>
      <c r="AW558" s="130"/>
      <c r="AX558" s="85"/>
      <c r="AY558" s="84"/>
      <c r="AZ558" s="84"/>
      <c r="BA558" s="131"/>
      <c r="BB558" s="84"/>
      <c r="BE558" s="84"/>
      <c r="BI558" s="86"/>
      <c r="BO558" s="84"/>
      <c r="BT558" s="84"/>
      <c r="BY558" s="84"/>
      <c r="CD558" s="84"/>
      <c r="CI558" s="128"/>
      <c r="CJ558" s="129"/>
      <c r="CL558" s="132"/>
      <c r="CM558" s="128"/>
      <c r="CN558" s="129"/>
      <c r="CP558" s="132"/>
      <c r="CQ558" s="128"/>
      <c r="CR558" s="129"/>
      <c r="CT558" s="132"/>
      <c r="CU558" s="128"/>
      <c r="CV558" s="129"/>
      <c r="CX558" s="132"/>
      <c r="CY558" s="128"/>
      <c r="CZ558" s="129"/>
      <c r="DB558" s="132"/>
      <c r="DC558" s="128"/>
      <c r="DD558" s="129"/>
      <c r="DF558" s="132"/>
      <c r="DG558" s="85"/>
      <c r="DH558" s="85"/>
      <c r="DI558" s="84"/>
      <c r="DK558" s="84"/>
      <c r="DP558" s="84"/>
      <c r="DU558" s="84"/>
      <c r="DY558" s="84"/>
      <c r="EC558" s="84"/>
      <c r="EG558" s="84"/>
      <c r="EK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128"/>
      <c r="AA559" s="129"/>
      <c r="AC559" s="130"/>
      <c r="AD559" s="128"/>
      <c r="AE559" s="129"/>
      <c r="AG559" s="130"/>
      <c r="AH559" s="128"/>
      <c r="AI559" s="129"/>
      <c r="AK559" s="130"/>
      <c r="AL559" s="128"/>
      <c r="AM559" s="129"/>
      <c r="AO559" s="130"/>
      <c r="AP559" s="128"/>
      <c r="AQ559" s="129"/>
      <c r="AS559" s="130"/>
      <c r="AT559" s="128"/>
      <c r="AU559" s="129"/>
      <c r="AW559" s="130"/>
      <c r="AX559" s="85"/>
      <c r="AY559" s="84"/>
      <c r="AZ559" s="84"/>
      <c r="BA559" s="131"/>
      <c r="BB559" s="84"/>
      <c r="BE559" s="84"/>
      <c r="BI559" s="86"/>
      <c r="BO559" s="84"/>
      <c r="BT559" s="84"/>
      <c r="BY559" s="84"/>
      <c r="CD559" s="84"/>
      <c r="CI559" s="128"/>
      <c r="CJ559" s="129"/>
      <c r="CL559" s="132"/>
      <c r="CM559" s="128"/>
      <c r="CN559" s="129"/>
      <c r="CP559" s="132"/>
      <c r="CQ559" s="128"/>
      <c r="CR559" s="129"/>
      <c r="CT559" s="132"/>
      <c r="CU559" s="128"/>
      <c r="CV559" s="129"/>
      <c r="CX559" s="132"/>
      <c r="CY559" s="128"/>
      <c r="CZ559" s="129"/>
      <c r="DB559" s="132"/>
      <c r="DC559" s="128"/>
      <c r="DD559" s="129"/>
      <c r="DF559" s="132"/>
      <c r="DG559" s="85"/>
      <c r="DH559" s="85"/>
      <c r="DI559" s="84"/>
      <c r="DK559" s="84"/>
      <c r="DP559" s="84"/>
      <c r="DU559" s="84"/>
      <c r="DY559" s="84"/>
      <c r="EC559" s="84"/>
      <c r="EG559" s="84"/>
      <c r="EK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128"/>
      <c r="AA560" s="129"/>
      <c r="AC560" s="130"/>
      <c r="AD560" s="128"/>
      <c r="AE560" s="129"/>
      <c r="AG560" s="130"/>
      <c r="AH560" s="128"/>
      <c r="AI560" s="129"/>
      <c r="AK560" s="130"/>
      <c r="AL560" s="128"/>
      <c r="AM560" s="129"/>
      <c r="AO560" s="130"/>
      <c r="AP560" s="128"/>
      <c r="AQ560" s="129"/>
      <c r="AS560" s="130"/>
      <c r="AT560" s="128"/>
      <c r="AU560" s="129"/>
      <c r="AW560" s="130"/>
      <c r="AX560" s="85"/>
      <c r="AY560" s="84"/>
      <c r="AZ560" s="84"/>
      <c r="BA560" s="131"/>
      <c r="BB560" s="84"/>
      <c r="BE560" s="84"/>
      <c r="BI560" s="86"/>
      <c r="BO560" s="84"/>
      <c r="BT560" s="84"/>
      <c r="BY560" s="84"/>
      <c r="CD560" s="84"/>
      <c r="CI560" s="128"/>
      <c r="CJ560" s="129"/>
      <c r="CL560" s="132"/>
      <c r="CM560" s="128"/>
      <c r="CN560" s="129"/>
      <c r="CP560" s="132"/>
      <c r="CQ560" s="128"/>
      <c r="CR560" s="129"/>
      <c r="CT560" s="132"/>
      <c r="CU560" s="128"/>
      <c r="CV560" s="129"/>
      <c r="CX560" s="132"/>
      <c r="CY560" s="128"/>
      <c r="CZ560" s="129"/>
      <c r="DB560" s="132"/>
      <c r="DC560" s="128"/>
      <c r="DD560" s="129"/>
      <c r="DF560" s="132"/>
      <c r="DG560" s="85"/>
      <c r="DH560" s="85"/>
      <c r="DI560" s="84"/>
      <c r="DK560" s="84"/>
      <c r="DP560" s="84"/>
      <c r="DU560" s="84"/>
      <c r="DY560" s="84"/>
      <c r="EC560" s="84"/>
      <c r="EG560" s="84"/>
      <c r="EK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128"/>
      <c r="AA561" s="129"/>
      <c r="AC561" s="130"/>
      <c r="AD561" s="128"/>
      <c r="AE561" s="129"/>
      <c r="AG561" s="130"/>
      <c r="AH561" s="128"/>
      <c r="AI561" s="129"/>
      <c r="AK561" s="130"/>
      <c r="AL561" s="128"/>
      <c r="AM561" s="129"/>
      <c r="AO561" s="130"/>
      <c r="AP561" s="128"/>
      <c r="AQ561" s="129"/>
      <c r="AS561" s="130"/>
      <c r="AT561" s="128"/>
      <c r="AU561" s="129"/>
      <c r="AW561" s="130"/>
      <c r="AX561" s="85"/>
      <c r="AY561" s="84"/>
      <c r="AZ561" s="84"/>
      <c r="BA561" s="131"/>
      <c r="BB561" s="84"/>
      <c r="BE561" s="84"/>
      <c r="BI561" s="86"/>
      <c r="BO561" s="84"/>
      <c r="BT561" s="84"/>
      <c r="BY561" s="84"/>
      <c r="CD561" s="84"/>
      <c r="CI561" s="128"/>
      <c r="CJ561" s="129"/>
      <c r="CL561" s="132"/>
      <c r="CM561" s="128"/>
      <c r="CN561" s="129"/>
      <c r="CP561" s="132"/>
      <c r="CQ561" s="128"/>
      <c r="CR561" s="129"/>
      <c r="CT561" s="132"/>
      <c r="CU561" s="128"/>
      <c r="CV561" s="129"/>
      <c r="CX561" s="132"/>
      <c r="CY561" s="128"/>
      <c r="CZ561" s="129"/>
      <c r="DB561" s="132"/>
      <c r="DC561" s="128"/>
      <c r="DD561" s="129"/>
      <c r="DF561" s="132"/>
      <c r="DG561" s="85"/>
      <c r="DH561" s="85"/>
      <c r="DI561" s="84"/>
      <c r="DK561" s="84"/>
      <c r="DP561" s="84"/>
      <c r="DU561" s="84"/>
      <c r="DY561" s="84"/>
      <c r="EC561" s="84"/>
      <c r="EG561" s="84"/>
      <c r="EK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128"/>
      <c r="AA562" s="129"/>
      <c r="AC562" s="130"/>
      <c r="AD562" s="128"/>
      <c r="AE562" s="129"/>
      <c r="AG562" s="130"/>
      <c r="AH562" s="128"/>
      <c r="AI562" s="129"/>
      <c r="AK562" s="130"/>
      <c r="AL562" s="128"/>
      <c r="AM562" s="129"/>
      <c r="AO562" s="130"/>
      <c r="AP562" s="128"/>
      <c r="AQ562" s="129"/>
      <c r="AS562" s="130"/>
      <c r="AT562" s="128"/>
      <c r="AU562" s="129"/>
      <c r="AW562" s="130"/>
      <c r="AX562" s="85"/>
      <c r="AY562" s="84"/>
      <c r="AZ562" s="84"/>
      <c r="BA562" s="131"/>
      <c r="BB562" s="84"/>
      <c r="BE562" s="84"/>
      <c r="BI562" s="86"/>
      <c r="BO562" s="84"/>
      <c r="BT562" s="84"/>
      <c r="BY562" s="84"/>
      <c r="CD562" s="84"/>
      <c r="CI562" s="128"/>
      <c r="CJ562" s="129"/>
      <c r="CL562" s="132"/>
      <c r="CM562" s="128"/>
      <c r="CN562" s="129"/>
      <c r="CP562" s="132"/>
      <c r="CQ562" s="128"/>
      <c r="CR562" s="129"/>
      <c r="CT562" s="132"/>
      <c r="CU562" s="128"/>
      <c r="CV562" s="129"/>
      <c r="CX562" s="132"/>
      <c r="CY562" s="128"/>
      <c r="CZ562" s="129"/>
      <c r="DB562" s="132"/>
      <c r="DC562" s="128"/>
      <c r="DD562" s="129"/>
      <c r="DF562" s="132"/>
      <c r="DG562" s="85"/>
      <c r="DH562" s="85"/>
      <c r="DI562" s="84"/>
      <c r="DK562" s="84"/>
      <c r="DP562" s="84"/>
      <c r="DU562" s="84"/>
      <c r="DY562" s="84"/>
      <c r="EC562" s="84"/>
      <c r="EG562" s="84"/>
      <c r="EK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128"/>
      <c r="AA563" s="129"/>
      <c r="AC563" s="130"/>
      <c r="AD563" s="128"/>
      <c r="AE563" s="129"/>
      <c r="AG563" s="130"/>
      <c r="AH563" s="128"/>
      <c r="AI563" s="129"/>
      <c r="AK563" s="130"/>
      <c r="AL563" s="128"/>
      <c r="AM563" s="129"/>
      <c r="AO563" s="130"/>
      <c r="AP563" s="128"/>
      <c r="AQ563" s="129"/>
      <c r="AS563" s="130"/>
      <c r="AT563" s="128"/>
      <c r="AU563" s="129"/>
      <c r="AW563" s="130"/>
      <c r="AX563" s="85"/>
      <c r="AY563" s="84"/>
      <c r="AZ563" s="84"/>
      <c r="BA563" s="131"/>
      <c r="BB563" s="84"/>
      <c r="BE563" s="84"/>
      <c r="BI563" s="86"/>
      <c r="BO563" s="84"/>
      <c r="BT563" s="84"/>
      <c r="BY563" s="84"/>
      <c r="CD563" s="84"/>
      <c r="CI563" s="128"/>
      <c r="CJ563" s="129"/>
      <c r="CL563" s="132"/>
      <c r="CM563" s="128"/>
      <c r="CN563" s="129"/>
      <c r="CP563" s="132"/>
      <c r="CQ563" s="128"/>
      <c r="CR563" s="129"/>
      <c r="CT563" s="132"/>
      <c r="CU563" s="128"/>
      <c r="CV563" s="129"/>
      <c r="CX563" s="132"/>
      <c r="CY563" s="128"/>
      <c r="CZ563" s="129"/>
      <c r="DB563" s="132"/>
      <c r="DC563" s="128"/>
      <c r="DD563" s="129"/>
      <c r="DF563" s="132"/>
      <c r="DG563" s="85"/>
      <c r="DH563" s="85"/>
      <c r="DI563" s="84"/>
      <c r="DK563" s="84"/>
      <c r="DP563" s="84"/>
      <c r="DU563" s="84"/>
      <c r="DY563" s="84"/>
      <c r="EC563" s="84"/>
      <c r="EG563" s="84"/>
      <c r="EK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128"/>
      <c r="AA564" s="129"/>
      <c r="AC564" s="130"/>
      <c r="AD564" s="128"/>
      <c r="AE564" s="129"/>
      <c r="AG564" s="130"/>
      <c r="AH564" s="128"/>
      <c r="AI564" s="129"/>
      <c r="AK564" s="130"/>
      <c r="AL564" s="128"/>
      <c r="AM564" s="129"/>
      <c r="AO564" s="130"/>
      <c r="AP564" s="128"/>
      <c r="AQ564" s="129"/>
      <c r="AS564" s="130"/>
      <c r="AT564" s="128"/>
      <c r="AU564" s="129"/>
      <c r="AW564" s="130"/>
      <c r="AX564" s="85"/>
      <c r="AY564" s="84"/>
      <c r="AZ564" s="84"/>
      <c r="BA564" s="131"/>
      <c r="BB564" s="84"/>
      <c r="BE564" s="84"/>
      <c r="BI564" s="86"/>
      <c r="BO564" s="84"/>
      <c r="BT564" s="84"/>
      <c r="BY564" s="84"/>
      <c r="CD564" s="84"/>
      <c r="CI564" s="128"/>
      <c r="CJ564" s="129"/>
      <c r="CL564" s="132"/>
      <c r="CM564" s="128"/>
      <c r="CN564" s="129"/>
      <c r="CP564" s="132"/>
      <c r="CQ564" s="128"/>
      <c r="CR564" s="129"/>
      <c r="CT564" s="132"/>
      <c r="CU564" s="128"/>
      <c r="CV564" s="129"/>
      <c r="CX564" s="132"/>
      <c r="CY564" s="128"/>
      <c r="CZ564" s="129"/>
      <c r="DB564" s="132"/>
      <c r="DC564" s="128"/>
      <c r="DD564" s="129"/>
      <c r="DF564" s="132"/>
      <c r="DG564" s="85"/>
      <c r="DH564" s="85"/>
      <c r="DI564" s="84"/>
      <c r="DK564" s="84"/>
      <c r="DP564" s="84"/>
      <c r="DU564" s="84"/>
      <c r="DY564" s="84"/>
      <c r="EC564" s="84"/>
      <c r="EG564" s="84"/>
      <c r="EK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128"/>
      <c r="AA565" s="129"/>
      <c r="AC565" s="130"/>
      <c r="AD565" s="128"/>
      <c r="AE565" s="129"/>
      <c r="AG565" s="130"/>
      <c r="AH565" s="128"/>
      <c r="AI565" s="129"/>
      <c r="AK565" s="130"/>
      <c r="AL565" s="128"/>
      <c r="AM565" s="129"/>
      <c r="AO565" s="130"/>
      <c r="AP565" s="128"/>
      <c r="AQ565" s="129"/>
      <c r="AS565" s="130"/>
      <c r="AT565" s="128"/>
      <c r="AU565" s="129"/>
      <c r="AW565" s="130"/>
      <c r="AX565" s="85"/>
      <c r="AY565" s="84"/>
      <c r="AZ565" s="84"/>
      <c r="BA565" s="131"/>
      <c r="BB565" s="84"/>
      <c r="BE565" s="84"/>
      <c r="BI565" s="86"/>
      <c r="BO565" s="84"/>
      <c r="BT565" s="84"/>
      <c r="BY565" s="84"/>
      <c r="CD565" s="84"/>
      <c r="CI565" s="128"/>
      <c r="CJ565" s="129"/>
      <c r="CL565" s="132"/>
      <c r="CM565" s="128"/>
      <c r="CN565" s="129"/>
      <c r="CP565" s="132"/>
      <c r="CQ565" s="128"/>
      <c r="CR565" s="129"/>
      <c r="CT565" s="132"/>
      <c r="CU565" s="128"/>
      <c r="CV565" s="129"/>
      <c r="CX565" s="132"/>
      <c r="CY565" s="128"/>
      <c r="CZ565" s="129"/>
      <c r="DB565" s="132"/>
      <c r="DC565" s="128"/>
      <c r="DD565" s="129"/>
      <c r="DF565" s="132"/>
      <c r="DG565" s="85"/>
      <c r="DH565" s="85"/>
      <c r="DI565" s="84"/>
      <c r="DK565" s="84"/>
      <c r="DP565" s="84"/>
      <c r="DU565" s="84"/>
      <c r="DY565" s="84"/>
      <c r="EC565" s="84"/>
      <c r="EG565" s="84"/>
      <c r="EK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128"/>
      <c r="AA566" s="129"/>
      <c r="AC566" s="130"/>
      <c r="AD566" s="128"/>
      <c r="AE566" s="129"/>
      <c r="AG566" s="130"/>
      <c r="AH566" s="128"/>
      <c r="AI566" s="129"/>
      <c r="AK566" s="130"/>
      <c r="AL566" s="128"/>
      <c r="AM566" s="129"/>
      <c r="AO566" s="130"/>
      <c r="AP566" s="128"/>
      <c r="AQ566" s="129"/>
      <c r="AS566" s="130"/>
      <c r="AT566" s="128"/>
      <c r="AU566" s="129"/>
      <c r="AW566" s="130"/>
      <c r="AX566" s="85"/>
      <c r="AY566" s="84"/>
      <c r="AZ566" s="84"/>
      <c r="BA566" s="131"/>
      <c r="BB566" s="84"/>
      <c r="BE566" s="84"/>
      <c r="BI566" s="86"/>
      <c r="BO566" s="84"/>
      <c r="BT566" s="84"/>
      <c r="BY566" s="84"/>
      <c r="CD566" s="84"/>
      <c r="CI566" s="128"/>
      <c r="CJ566" s="129"/>
      <c r="CL566" s="132"/>
      <c r="CM566" s="128"/>
      <c r="CN566" s="129"/>
      <c r="CP566" s="132"/>
      <c r="CQ566" s="128"/>
      <c r="CR566" s="129"/>
      <c r="CT566" s="132"/>
      <c r="CU566" s="128"/>
      <c r="CV566" s="129"/>
      <c r="CX566" s="132"/>
      <c r="CY566" s="128"/>
      <c r="CZ566" s="129"/>
      <c r="DB566" s="132"/>
      <c r="DC566" s="128"/>
      <c r="DD566" s="129"/>
      <c r="DF566" s="132"/>
      <c r="DG566" s="85"/>
      <c r="DH566" s="85"/>
      <c r="DI566" s="84"/>
      <c r="DK566" s="84"/>
      <c r="DP566" s="84"/>
      <c r="DU566" s="84"/>
      <c r="DY566" s="84"/>
      <c r="EC566" s="84"/>
      <c r="EG566" s="84"/>
      <c r="EK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128"/>
      <c r="AA567" s="129"/>
      <c r="AC567" s="130"/>
      <c r="AD567" s="128"/>
      <c r="AE567" s="129"/>
      <c r="AG567" s="130"/>
      <c r="AH567" s="128"/>
      <c r="AI567" s="129"/>
      <c r="AK567" s="130"/>
      <c r="AL567" s="128"/>
      <c r="AM567" s="129"/>
      <c r="AO567" s="130"/>
      <c r="AP567" s="128"/>
      <c r="AQ567" s="129"/>
      <c r="AS567" s="130"/>
      <c r="AT567" s="128"/>
      <c r="AU567" s="129"/>
      <c r="AW567" s="130"/>
      <c r="AX567" s="85"/>
      <c r="AY567" s="84"/>
      <c r="AZ567" s="84"/>
      <c r="BA567" s="131"/>
      <c r="BB567" s="84"/>
      <c r="BE567" s="84"/>
      <c r="BI567" s="86"/>
      <c r="BO567" s="84"/>
      <c r="BT567" s="84"/>
      <c r="BY567" s="84"/>
      <c r="CD567" s="84"/>
      <c r="CI567" s="128"/>
      <c r="CJ567" s="129"/>
      <c r="CL567" s="132"/>
      <c r="CM567" s="128"/>
      <c r="CN567" s="129"/>
      <c r="CP567" s="132"/>
      <c r="CQ567" s="128"/>
      <c r="CR567" s="129"/>
      <c r="CT567" s="132"/>
      <c r="CU567" s="128"/>
      <c r="CV567" s="129"/>
      <c r="CX567" s="132"/>
      <c r="CY567" s="128"/>
      <c r="CZ567" s="129"/>
      <c r="DB567" s="132"/>
      <c r="DC567" s="128"/>
      <c r="DD567" s="129"/>
      <c r="DF567" s="132"/>
      <c r="DG567" s="85"/>
      <c r="DH567" s="85"/>
      <c r="DI567" s="84"/>
      <c r="DK567" s="84"/>
      <c r="DP567" s="84"/>
      <c r="DU567" s="84"/>
      <c r="DY567" s="84"/>
      <c r="EC567" s="84"/>
      <c r="EG567" s="84"/>
      <c r="EK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128"/>
      <c r="AA568" s="129"/>
      <c r="AC568" s="130"/>
      <c r="AD568" s="128"/>
      <c r="AE568" s="129"/>
      <c r="AG568" s="130"/>
      <c r="AH568" s="128"/>
      <c r="AI568" s="129"/>
      <c r="AK568" s="130"/>
      <c r="AL568" s="128"/>
      <c r="AM568" s="129"/>
      <c r="AO568" s="130"/>
      <c r="AP568" s="128"/>
      <c r="AQ568" s="129"/>
      <c r="AS568" s="130"/>
      <c r="AT568" s="128"/>
      <c r="AU568" s="129"/>
      <c r="AW568" s="130"/>
      <c r="AX568" s="85"/>
      <c r="AY568" s="84"/>
      <c r="AZ568" s="84"/>
      <c r="BA568" s="131"/>
      <c r="BB568" s="84"/>
      <c r="BE568" s="84"/>
      <c r="BI568" s="86"/>
      <c r="BO568" s="84"/>
      <c r="BT568" s="84"/>
      <c r="BY568" s="84"/>
      <c r="CD568" s="84"/>
      <c r="CI568" s="128"/>
      <c r="CJ568" s="129"/>
      <c r="CL568" s="132"/>
      <c r="CM568" s="128"/>
      <c r="CN568" s="129"/>
      <c r="CP568" s="132"/>
      <c r="CQ568" s="128"/>
      <c r="CR568" s="129"/>
      <c r="CT568" s="132"/>
      <c r="CU568" s="128"/>
      <c r="CV568" s="129"/>
      <c r="CX568" s="132"/>
      <c r="CY568" s="128"/>
      <c r="CZ568" s="129"/>
      <c r="DB568" s="132"/>
      <c r="DC568" s="128"/>
      <c r="DD568" s="129"/>
      <c r="DF568" s="132"/>
      <c r="DG568" s="85"/>
      <c r="DH568" s="85"/>
      <c r="DI568" s="84"/>
      <c r="DK568" s="84"/>
      <c r="DP568" s="84"/>
      <c r="DU568" s="84"/>
      <c r="DY568" s="84"/>
      <c r="EC568" s="84"/>
      <c r="EG568" s="84"/>
      <c r="EK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128"/>
      <c r="AA569" s="129"/>
      <c r="AC569" s="130"/>
      <c r="AD569" s="128"/>
      <c r="AE569" s="129"/>
      <c r="AG569" s="130"/>
      <c r="AH569" s="128"/>
      <c r="AI569" s="129"/>
      <c r="AK569" s="130"/>
      <c r="AL569" s="128"/>
      <c r="AM569" s="129"/>
      <c r="AO569" s="130"/>
      <c r="AP569" s="128"/>
      <c r="AQ569" s="129"/>
      <c r="AS569" s="130"/>
      <c r="AT569" s="128"/>
      <c r="AU569" s="129"/>
      <c r="AW569" s="130"/>
      <c r="AX569" s="85"/>
      <c r="AY569" s="84"/>
      <c r="AZ569" s="84"/>
      <c r="BA569" s="131"/>
      <c r="BB569" s="84"/>
      <c r="BE569" s="84"/>
      <c r="BI569" s="86"/>
      <c r="BO569" s="84"/>
      <c r="BT569" s="84"/>
      <c r="BY569" s="84"/>
      <c r="CD569" s="84"/>
      <c r="CI569" s="128"/>
      <c r="CJ569" s="129"/>
      <c r="CL569" s="132"/>
      <c r="CM569" s="128"/>
      <c r="CN569" s="129"/>
      <c r="CP569" s="132"/>
      <c r="CQ569" s="128"/>
      <c r="CR569" s="129"/>
      <c r="CT569" s="132"/>
      <c r="CU569" s="128"/>
      <c r="CV569" s="129"/>
      <c r="CX569" s="132"/>
      <c r="CY569" s="128"/>
      <c r="CZ569" s="129"/>
      <c r="DB569" s="132"/>
      <c r="DC569" s="128"/>
      <c r="DD569" s="129"/>
      <c r="DF569" s="132"/>
      <c r="DG569" s="85"/>
      <c r="DH569" s="85"/>
      <c r="DI569" s="84"/>
      <c r="DK569" s="84"/>
      <c r="DP569" s="84"/>
      <c r="DU569" s="84"/>
      <c r="DY569" s="84"/>
      <c r="EC569" s="84"/>
      <c r="EG569" s="84"/>
      <c r="EK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128"/>
      <c r="AA570" s="129"/>
      <c r="AC570" s="130"/>
      <c r="AD570" s="128"/>
      <c r="AE570" s="129"/>
      <c r="AG570" s="130"/>
      <c r="AH570" s="128"/>
      <c r="AI570" s="129"/>
      <c r="AK570" s="130"/>
      <c r="AL570" s="128"/>
      <c r="AM570" s="129"/>
      <c r="AO570" s="130"/>
      <c r="AP570" s="128"/>
      <c r="AQ570" s="129"/>
      <c r="AS570" s="130"/>
      <c r="AT570" s="128"/>
      <c r="AU570" s="129"/>
      <c r="AW570" s="130"/>
      <c r="AX570" s="85"/>
      <c r="AY570" s="84"/>
      <c r="AZ570" s="84"/>
      <c r="BA570" s="131"/>
      <c r="BB570" s="84"/>
      <c r="BE570" s="84"/>
      <c r="BI570" s="86"/>
      <c r="BO570" s="84"/>
      <c r="BT570" s="84"/>
      <c r="BY570" s="84"/>
      <c r="CD570" s="84"/>
      <c r="CI570" s="128"/>
      <c r="CJ570" s="129"/>
      <c r="CL570" s="132"/>
      <c r="CM570" s="128"/>
      <c r="CN570" s="129"/>
      <c r="CP570" s="132"/>
      <c r="CQ570" s="128"/>
      <c r="CR570" s="129"/>
      <c r="CT570" s="132"/>
      <c r="CU570" s="128"/>
      <c r="CV570" s="129"/>
      <c r="CX570" s="132"/>
      <c r="CY570" s="128"/>
      <c r="CZ570" s="129"/>
      <c r="DB570" s="132"/>
      <c r="DC570" s="128"/>
      <c r="DD570" s="129"/>
      <c r="DF570" s="132"/>
      <c r="DG570" s="85"/>
      <c r="DH570" s="85"/>
      <c r="DI570" s="84"/>
      <c r="DK570" s="84"/>
      <c r="DP570" s="84"/>
      <c r="DU570" s="84"/>
      <c r="DY570" s="84"/>
      <c r="EC570" s="84"/>
      <c r="EG570" s="84"/>
      <c r="EK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128"/>
      <c r="AA571" s="129"/>
      <c r="AC571" s="130"/>
      <c r="AD571" s="128"/>
      <c r="AE571" s="129"/>
      <c r="AG571" s="130"/>
      <c r="AH571" s="128"/>
      <c r="AI571" s="129"/>
      <c r="AK571" s="130"/>
      <c r="AL571" s="128"/>
      <c r="AM571" s="129"/>
      <c r="AO571" s="130"/>
      <c r="AP571" s="128"/>
      <c r="AQ571" s="129"/>
      <c r="AS571" s="130"/>
      <c r="AT571" s="128"/>
      <c r="AU571" s="129"/>
      <c r="AW571" s="130"/>
      <c r="AX571" s="85"/>
      <c r="AY571" s="84"/>
      <c r="AZ571" s="84"/>
      <c r="BA571" s="131"/>
      <c r="BB571" s="84"/>
      <c r="BE571" s="84"/>
      <c r="BI571" s="86"/>
      <c r="BO571" s="84"/>
      <c r="BT571" s="84"/>
      <c r="BY571" s="84"/>
      <c r="CD571" s="84"/>
      <c r="CI571" s="128"/>
      <c r="CJ571" s="129"/>
      <c r="CL571" s="132"/>
      <c r="CM571" s="128"/>
      <c r="CN571" s="129"/>
      <c r="CP571" s="132"/>
      <c r="CQ571" s="128"/>
      <c r="CR571" s="129"/>
      <c r="CT571" s="132"/>
      <c r="CU571" s="128"/>
      <c r="CV571" s="129"/>
      <c r="CX571" s="132"/>
      <c r="CY571" s="128"/>
      <c r="CZ571" s="129"/>
      <c r="DB571" s="132"/>
      <c r="DC571" s="128"/>
      <c r="DD571" s="129"/>
      <c r="DF571" s="132"/>
      <c r="DG571" s="85"/>
      <c r="DH571" s="85"/>
      <c r="DI571" s="84"/>
      <c r="DK571" s="84"/>
      <c r="DP571" s="84"/>
      <c r="DU571" s="84"/>
      <c r="DY571" s="84"/>
      <c r="EC571" s="84"/>
      <c r="EG571" s="84"/>
      <c r="EK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128"/>
      <c r="AA572" s="129"/>
      <c r="AC572" s="130"/>
      <c r="AD572" s="128"/>
      <c r="AE572" s="129"/>
      <c r="AG572" s="130"/>
      <c r="AH572" s="128"/>
      <c r="AI572" s="129"/>
      <c r="AK572" s="130"/>
      <c r="AL572" s="128"/>
      <c r="AM572" s="129"/>
      <c r="AO572" s="130"/>
      <c r="AP572" s="128"/>
      <c r="AQ572" s="129"/>
      <c r="AS572" s="130"/>
      <c r="AT572" s="128"/>
      <c r="AU572" s="129"/>
      <c r="AW572" s="130"/>
      <c r="AX572" s="85"/>
      <c r="AY572" s="84"/>
      <c r="AZ572" s="84"/>
      <c r="BA572" s="131"/>
      <c r="BB572" s="84"/>
      <c r="BE572" s="84"/>
      <c r="BI572" s="86"/>
      <c r="BO572" s="84"/>
      <c r="BT572" s="84"/>
      <c r="BY572" s="84"/>
      <c r="CD572" s="84"/>
      <c r="CI572" s="128"/>
      <c r="CJ572" s="129"/>
      <c r="CL572" s="132"/>
      <c r="CM572" s="128"/>
      <c r="CN572" s="129"/>
      <c r="CP572" s="132"/>
      <c r="CQ572" s="128"/>
      <c r="CR572" s="129"/>
      <c r="CT572" s="132"/>
      <c r="CU572" s="128"/>
      <c r="CV572" s="129"/>
      <c r="CX572" s="132"/>
      <c r="CY572" s="128"/>
      <c r="CZ572" s="129"/>
      <c r="DB572" s="132"/>
      <c r="DC572" s="128"/>
      <c r="DD572" s="129"/>
      <c r="DF572" s="132"/>
      <c r="DG572" s="85"/>
      <c r="DH572" s="85"/>
      <c r="DI572" s="84"/>
      <c r="DK572" s="84"/>
      <c r="DP572" s="84"/>
      <c r="DU572" s="84"/>
      <c r="DY572" s="84"/>
      <c r="EC572" s="84"/>
      <c r="EG572" s="84"/>
      <c r="EK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128"/>
      <c r="AA573" s="129"/>
      <c r="AC573" s="130"/>
      <c r="AD573" s="128"/>
      <c r="AE573" s="129"/>
      <c r="AG573" s="130"/>
      <c r="AH573" s="128"/>
      <c r="AI573" s="129"/>
      <c r="AK573" s="130"/>
      <c r="AL573" s="128"/>
      <c r="AM573" s="129"/>
      <c r="AO573" s="130"/>
      <c r="AP573" s="128"/>
      <c r="AQ573" s="129"/>
      <c r="AS573" s="130"/>
      <c r="AT573" s="128"/>
      <c r="AU573" s="129"/>
      <c r="AW573" s="130"/>
      <c r="AX573" s="85"/>
      <c r="AY573" s="84"/>
      <c r="AZ573" s="84"/>
      <c r="BA573" s="131"/>
      <c r="BB573" s="84"/>
      <c r="BE573" s="84"/>
      <c r="BI573" s="86"/>
      <c r="BO573" s="84"/>
      <c r="BT573" s="84"/>
      <c r="BY573" s="84"/>
      <c r="CD573" s="84"/>
      <c r="CI573" s="128"/>
      <c r="CJ573" s="129"/>
      <c r="CL573" s="132"/>
      <c r="CM573" s="128"/>
      <c r="CN573" s="129"/>
      <c r="CP573" s="132"/>
      <c r="CQ573" s="128"/>
      <c r="CR573" s="129"/>
      <c r="CT573" s="132"/>
      <c r="CU573" s="128"/>
      <c r="CV573" s="129"/>
      <c r="CX573" s="132"/>
      <c r="CY573" s="128"/>
      <c r="CZ573" s="129"/>
      <c r="DB573" s="132"/>
      <c r="DC573" s="128"/>
      <c r="DD573" s="129"/>
      <c r="DF573" s="132"/>
      <c r="DG573" s="85"/>
      <c r="DH573" s="85"/>
      <c r="DI573" s="84"/>
      <c r="DK573" s="84"/>
      <c r="DP573" s="84"/>
      <c r="DU573" s="84"/>
      <c r="DY573" s="84"/>
      <c r="EC573" s="84"/>
      <c r="EG573" s="84"/>
      <c r="EK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128"/>
      <c r="AA574" s="129"/>
      <c r="AC574" s="130"/>
      <c r="AD574" s="128"/>
      <c r="AE574" s="129"/>
      <c r="AG574" s="130"/>
      <c r="AH574" s="128"/>
      <c r="AI574" s="129"/>
      <c r="AK574" s="130"/>
      <c r="AL574" s="128"/>
      <c r="AM574" s="129"/>
      <c r="AO574" s="130"/>
      <c r="AP574" s="128"/>
      <c r="AQ574" s="129"/>
      <c r="AS574" s="130"/>
      <c r="AT574" s="128"/>
      <c r="AU574" s="129"/>
      <c r="AW574" s="130"/>
      <c r="AX574" s="85"/>
      <c r="AY574" s="84"/>
      <c r="AZ574" s="84"/>
      <c r="BA574" s="131"/>
      <c r="BB574" s="84"/>
      <c r="BE574" s="84"/>
      <c r="BI574" s="86"/>
      <c r="BO574" s="84"/>
      <c r="BT574" s="84"/>
      <c r="BY574" s="84"/>
      <c r="CD574" s="84"/>
      <c r="CI574" s="128"/>
      <c r="CJ574" s="129"/>
      <c r="CL574" s="132"/>
      <c r="CM574" s="128"/>
      <c r="CN574" s="129"/>
      <c r="CP574" s="132"/>
      <c r="CQ574" s="128"/>
      <c r="CR574" s="129"/>
      <c r="CT574" s="132"/>
      <c r="CU574" s="128"/>
      <c r="CV574" s="129"/>
      <c r="CX574" s="132"/>
      <c r="CY574" s="128"/>
      <c r="CZ574" s="129"/>
      <c r="DB574" s="132"/>
      <c r="DC574" s="128"/>
      <c r="DD574" s="129"/>
      <c r="DF574" s="132"/>
      <c r="DG574" s="85"/>
      <c r="DH574" s="85"/>
      <c r="DI574" s="84"/>
      <c r="DK574" s="84"/>
      <c r="DP574" s="84"/>
      <c r="DU574" s="84"/>
      <c r="DY574" s="84"/>
      <c r="EC574" s="84"/>
      <c r="EG574" s="84"/>
      <c r="EK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128"/>
      <c r="AA575" s="129"/>
      <c r="AC575" s="130"/>
      <c r="AD575" s="128"/>
      <c r="AE575" s="129"/>
      <c r="AG575" s="130"/>
      <c r="AH575" s="128"/>
      <c r="AI575" s="129"/>
      <c r="AK575" s="130"/>
      <c r="AL575" s="128"/>
      <c r="AM575" s="129"/>
      <c r="AO575" s="130"/>
      <c r="AP575" s="128"/>
      <c r="AQ575" s="129"/>
      <c r="AS575" s="130"/>
      <c r="AT575" s="128"/>
      <c r="AU575" s="129"/>
      <c r="AW575" s="130"/>
      <c r="AX575" s="85"/>
      <c r="AY575" s="84"/>
      <c r="AZ575" s="84"/>
      <c r="BA575" s="131"/>
      <c r="BB575" s="84"/>
      <c r="BE575" s="84"/>
      <c r="BI575" s="86"/>
      <c r="BO575" s="84"/>
      <c r="BT575" s="84"/>
      <c r="BY575" s="84"/>
      <c r="CD575" s="84"/>
      <c r="CI575" s="128"/>
      <c r="CJ575" s="129"/>
      <c r="CL575" s="132"/>
      <c r="CM575" s="128"/>
      <c r="CN575" s="129"/>
      <c r="CP575" s="132"/>
      <c r="CQ575" s="128"/>
      <c r="CR575" s="129"/>
      <c r="CT575" s="132"/>
      <c r="CU575" s="128"/>
      <c r="CV575" s="129"/>
      <c r="CX575" s="132"/>
      <c r="CY575" s="128"/>
      <c r="CZ575" s="129"/>
      <c r="DB575" s="132"/>
      <c r="DC575" s="128"/>
      <c r="DD575" s="129"/>
      <c r="DF575" s="132"/>
      <c r="DG575" s="85"/>
      <c r="DH575" s="85"/>
      <c r="DI575" s="84"/>
      <c r="DK575" s="84"/>
      <c r="DP575" s="84"/>
      <c r="DU575" s="84"/>
      <c r="DY575" s="84"/>
      <c r="EC575" s="84"/>
      <c r="EG575" s="84"/>
      <c r="EK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128"/>
      <c r="AA576" s="129"/>
      <c r="AC576" s="130"/>
      <c r="AD576" s="128"/>
      <c r="AE576" s="129"/>
      <c r="AG576" s="130"/>
      <c r="AH576" s="128"/>
      <c r="AI576" s="129"/>
      <c r="AK576" s="130"/>
      <c r="AL576" s="128"/>
      <c r="AM576" s="129"/>
      <c r="AO576" s="130"/>
      <c r="AP576" s="128"/>
      <c r="AQ576" s="129"/>
      <c r="AS576" s="130"/>
      <c r="AT576" s="128"/>
      <c r="AU576" s="129"/>
      <c r="AW576" s="130"/>
      <c r="AX576" s="85"/>
      <c r="AY576" s="84"/>
      <c r="AZ576" s="84"/>
      <c r="BA576" s="131"/>
      <c r="BB576" s="84"/>
      <c r="BE576" s="84"/>
      <c r="BI576" s="86"/>
      <c r="BO576" s="84"/>
      <c r="BT576" s="84"/>
      <c r="BY576" s="84"/>
      <c r="CD576" s="84"/>
      <c r="CI576" s="128"/>
      <c r="CJ576" s="129"/>
      <c r="CL576" s="132"/>
      <c r="CM576" s="128"/>
      <c r="CN576" s="129"/>
      <c r="CP576" s="132"/>
      <c r="CQ576" s="128"/>
      <c r="CR576" s="129"/>
      <c r="CT576" s="132"/>
      <c r="CU576" s="128"/>
      <c r="CV576" s="129"/>
      <c r="CX576" s="132"/>
      <c r="CY576" s="128"/>
      <c r="CZ576" s="129"/>
      <c r="DB576" s="132"/>
      <c r="DC576" s="128"/>
      <c r="DD576" s="129"/>
      <c r="DF576" s="132"/>
      <c r="DG576" s="85"/>
      <c r="DH576" s="85"/>
      <c r="DI576" s="84"/>
      <c r="DK576" s="84"/>
      <c r="DP576" s="84"/>
      <c r="DU576" s="84"/>
      <c r="DY576" s="84"/>
      <c r="EC576" s="84"/>
      <c r="EG576" s="84"/>
      <c r="EK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128"/>
      <c r="AA577" s="129"/>
      <c r="AC577" s="130"/>
      <c r="AD577" s="128"/>
      <c r="AE577" s="129"/>
      <c r="AG577" s="130"/>
      <c r="AH577" s="128"/>
      <c r="AI577" s="129"/>
      <c r="AK577" s="130"/>
      <c r="AL577" s="128"/>
      <c r="AM577" s="129"/>
      <c r="AO577" s="130"/>
      <c r="AP577" s="128"/>
      <c r="AQ577" s="129"/>
      <c r="AS577" s="130"/>
      <c r="AT577" s="128"/>
      <c r="AU577" s="129"/>
      <c r="AW577" s="130"/>
      <c r="AX577" s="85"/>
      <c r="AY577" s="84"/>
      <c r="AZ577" s="84"/>
      <c r="BA577" s="131"/>
      <c r="BB577" s="84"/>
      <c r="BE577" s="84"/>
      <c r="BI577" s="86"/>
      <c r="BO577" s="84"/>
      <c r="BT577" s="84"/>
      <c r="BY577" s="84"/>
      <c r="CD577" s="84"/>
      <c r="CI577" s="128"/>
      <c r="CJ577" s="129"/>
      <c r="CL577" s="132"/>
      <c r="CM577" s="128"/>
      <c r="CN577" s="129"/>
      <c r="CP577" s="132"/>
      <c r="CQ577" s="128"/>
      <c r="CR577" s="129"/>
      <c r="CT577" s="132"/>
      <c r="CU577" s="128"/>
      <c r="CV577" s="129"/>
      <c r="CX577" s="132"/>
      <c r="CY577" s="128"/>
      <c r="CZ577" s="129"/>
      <c r="DB577" s="132"/>
      <c r="DC577" s="128"/>
      <c r="DD577" s="129"/>
      <c r="DF577" s="132"/>
      <c r="DG577" s="85"/>
      <c r="DH577" s="85"/>
      <c r="DI577" s="84"/>
      <c r="DK577" s="84"/>
      <c r="DP577" s="84"/>
      <c r="DU577" s="84"/>
      <c r="DY577" s="84"/>
      <c r="EC577" s="84"/>
      <c r="EG577" s="84"/>
      <c r="EK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128"/>
      <c r="AA578" s="129"/>
      <c r="AC578" s="130"/>
      <c r="AD578" s="128"/>
      <c r="AE578" s="129"/>
      <c r="AG578" s="130"/>
      <c r="AH578" s="128"/>
      <c r="AI578" s="129"/>
      <c r="AK578" s="130"/>
      <c r="AL578" s="128"/>
      <c r="AM578" s="129"/>
      <c r="AO578" s="130"/>
      <c r="AP578" s="128"/>
      <c r="AQ578" s="129"/>
      <c r="AS578" s="130"/>
      <c r="AT578" s="128"/>
      <c r="AU578" s="129"/>
      <c r="AW578" s="130"/>
      <c r="AX578" s="85"/>
      <c r="AY578" s="84"/>
      <c r="AZ578" s="84"/>
      <c r="BA578" s="131"/>
      <c r="BB578" s="84"/>
      <c r="BE578" s="84"/>
      <c r="BI578" s="86"/>
      <c r="BO578" s="84"/>
      <c r="BT578" s="84"/>
      <c r="BY578" s="84"/>
      <c r="CD578" s="84"/>
      <c r="CI578" s="128"/>
      <c r="CJ578" s="129"/>
      <c r="CL578" s="132"/>
      <c r="CM578" s="128"/>
      <c r="CN578" s="129"/>
      <c r="CP578" s="132"/>
      <c r="CQ578" s="128"/>
      <c r="CR578" s="129"/>
      <c r="CT578" s="132"/>
      <c r="CU578" s="128"/>
      <c r="CV578" s="129"/>
      <c r="CX578" s="132"/>
      <c r="CY578" s="128"/>
      <c r="CZ578" s="129"/>
      <c r="DB578" s="132"/>
      <c r="DC578" s="128"/>
      <c r="DD578" s="129"/>
      <c r="DF578" s="132"/>
      <c r="DG578" s="85"/>
      <c r="DH578" s="85"/>
      <c r="DI578" s="84"/>
      <c r="DK578" s="84"/>
      <c r="DP578" s="84"/>
      <c r="DU578" s="84"/>
      <c r="DY578" s="84"/>
      <c r="EC578" s="84"/>
      <c r="EG578" s="84"/>
      <c r="EK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128"/>
      <c r="AA579" s="129"/>
      <c r="AC579" s="130"/>
      <c r="AD579" s="128"/>
      <c r="AE579" s="129"/>
      <c r="AG579" s="130"/>
      <c r="AH579" s="128"/>
      <c r="AI579" s="129"/>
      <c r="AK579" s="130"/>
      <c r="AL579" s="128"/>
      <c r="AM579" s="129"/>
      <c r="AO579" s="130"/>
      <c r="AP579" s="128"/>
      <c r="AQ579" s="129"/>
      <c r="AS579" s="130"/>
      <c r="AT579" s="128"/>
      <c r="AU579" s="129"/>
      <c r="AW579" s="130"/>
      <c r="AX579" s="85"/>
      <c r="AY579" s="84"/>
      <c r="AZ579" s="84"/>
      <c r="BA579" s="131"/>
      <c r="BB579" s="84"/>
      <c r="BE579" s="84"/>
      <c r="BI579" s="86"/>
      <c r="BO579" s="84"/>
      <c r="BT579" s="84"/>
      <c r="BY579" s="84"/>
      <c r="CD579" s="84"/>
      <c r="CI579" s="128"/>
      <c r="CJ579" s="129"/>
      <c r="CL579" s="132"/>
      <c r="CM579" s="128"/>
      <c r="CN579" s="129"/>
      <c r="CP579" s="132"/>
      <c r="CQ579" s="128"/>
      <c r="CR579" s="129"/>
      <c r="CT579" s="132"/>
      <c r="CU579" s="128"/>
      <c r="CV579" s="129"/>
      <c r="CX579" s="132"/>
      <c r="CY579" s="128"/>
      <c r="CZ579" s="129"/>
      <c r="DB579" s="132"/>
      <c r="DC579" s="128"/>
      <c r="DD579" s="129"/>
      <c r="DF579" s="132"/>
      <c r="DG579" s="85"/>
      <c r="DH579" s="85"/>
      <c r="DI579" s="84"/>
      <c r="DK579" s="84"/>
      <c r="DP579" s="84"/>
      <c r="DU579" s="84"/>
      <c r="DY579" s="84"/>
      <c r="EC579" s="84"/>
      <c r="EG579" s="84"/>
      <c r="EK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128"/>
      <c r="AA580" s="129"/>
      <c r="AC580" s="130"/>
      <c r="AD580" s="128"/>
      <c r="AE580" s="129"/>
      <c r="AG580" s="130"/>
      <c r="AH580" s="128"/>
      <c r="AI580" s="129"/>
      <c r="AK580" s="130"/>
      <c r="AL580" s="128"/>
      <c r="AM580" s="129"/>
      <c r="AO580" s="130"/>
      <c r="AP580" s="128"/>
      <c r="AQ580" s="129"/>
      <c r="AS580" s="130"/>
      <c r="AT580" s="128"/>
      <c r="AU580" s="129"/>
      <c r="AW580" s="130"/>
      <c r="AX580" s="85"/>
      <c r="AY580" s="84"/>
      <c r="AZ580" s="84"/>
      <c r="BA580" s="131"/>
      <c r="BB580" s="84"/>
      <c r="BE580" s="84"/>
      <c r="BI580" s="86"/>
      <c r="BO580" s="84"/>
      <c r="BT580" s="84"/>
      <c r="BY580" s="84"/>
      <c r="CD580" s="84"/>
      <c r="CI580" s="128"/>
      <c r="CJ580" s="129"/>
      <c r="CL580" s="132"/>
      <c r="CM580" s="128"/>
      <c r="CN580" s="129"/>
      <c r="CP580" s="132"/>
      <c r="CQ580" s="128"/>
      <c r="CR580" s="129"/>
      <c r="CT580" s="132"/>
      <c r="CU580" s="128"/>
      <c r="CV580" s="129"/>
      <c r="CX580" s="132"/>
      <c r="CY580" s="128"/>
      <c r="CZ580" s="129"/>
      <c r="DB580" s="132"/>
      <c r="DC580" s="128"/>
      <c r="DD580" s="129"/>
      <c r="DF580" s="132"/>
      <c r="DG580" s="85"/>
      <c r="DH580" s="85"/>
      <c r="DI580" s="84"/>
      <c r="DK580" s="84"/>
      <c r="DP580" s="84"/>
      <c r="DU580" s="84"/>
      <c r="DY580" s="84"/>
      <c r="EC580" s="84"/>
      <c r="EG580" s="84"/>
      <c r="EK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128"/>
      <c r="AA581" s="129"/>
      <c r="AC581" s="130"/>
      <c r="AD581" s="128"/>
      <c r="AE581" s="129"/>
      <c r="AG581" s="130"/>
      <c r="AH581" s="128"/>
      <c r="AI581" s="129"/>
      <c r="AK581" s="130"/>
      <c r="AL581" s="128"/>
      <c r="AM581" s="129"/>
      <c r="AO581" s="130"/>
      <c r="AP581" s="128"/>
      <c r="AQ581" s="129"/>
      <c r="AS581" s="130"/>
      <c r="AT581" s="128"/>
      <c r="AU581" s="129"/>
      <c r="AW581" s="130"/>
      <c r="AX581" s="85"/>
      <c r="AY581" s="84"/>
      <c r="AZ581" s="84"/>
      <c r="BA581" s="131"/>
      <c r="BB581" s="84"/>
      <c r="BE581" s="84"/>
      <c r="BI581" s="86"/>
      <c r="BO581" s="84"/>
      <c r="BT581" s="84"/>
      <c r="BY581" s="84"/>
      <c r="CD581" s="84"/>
      <c r="CI581" s="128"/>
      <c r="CJ581" s="129"/>
      <c r="CL581" s="132"/>
      <c r="CM581" s="128"/>
      <c r="CN581" s="129"/>
      <c r="CP581" s="132"/>
      <c r="CQ581" s="128"/>
      <c r="CR581" s="129"/>
      <c r="CT581" s="132"/>
      <c r="CU581" s="128"/>
      <c r="CV581" s="129"/>
      <c r="CX581" s="132"/>
      <c r="CY581" s="128"/>
      <c r="CZ581" s="129"/>
      <c r="DB581" s="132"/>
      <c r="DC581" s="128"/>
      <c r="DD581" s="129"/>
      <c r="DF581" s="132"/>
      <c r="DG581" s="85"/>
      <c r="DH581" s="85"/>
      <c r="DI581" s="84"/>
      <c r="DK581" s="84"/>
      <c r="DP581" s="84"/>
      <c r="DU581" s="84"/>
      <c r="DY581" s="84"/>
      <c r="EC581" s="84"/>
      <c r="EG581" s="84"/>
      <c r="EK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128"/>
      <c r="AA582" s="129"/>
      <c r="AC582" s="130"/>
      <c r="AD582" s="128"/>
      <c r="AE582" s="129"/>
      <c r="AG582" s="130"/>
      <c r="AH582" s="128"/>
      <c r="AI582" s="129"/>
      <c r="AK582" s="130"/>
      <c r="AL582" s="128"/>
      <c r="AM582" s="129"/>
      <c r="AO582" s="130"/>
      <c r="AP582" s="128"/>
      <c r="AQ582" s="129"/>
      <c r="AS582" s="130"/>
      <c r="AT582" s="128"/>
      <c r="AU582" s="129"/>
      <c r="AW582" s="130"/>
      <c r="AX582" s="85"/>
      <c r="AY582" s="84"/>
      <c r="AZ582" s="84"/>
      <c r="BA582" s="131"/>
      <c r="BB582" s="84"/>
      <c r="BE582" s="84"/>
      <c r="BI582" s="86"/>
      <c r="BO582" s="84"/>
      <c r="BT582" s="84"/>
      <c r="BY582" s="84"/>
      <c r="CD582" s="84"/>
      <c r="CI582" s="128"/>
      <c r="CJ582" s="129"/>
      <c r="CL582" s="132"/>
      <c r="CM582" s="128"/>
      <c r="CN582" s="129"/>
      <c r="CP582" s="132"/>
      <c r="CQ582" s="128"/>
      <c r="CR582" s="129"/>
      <c r="CT582" s="132"/>
      <c r="CU582" s="128"/>
      <c r="CV582" s="129"/>
      <c r="CX582" s="132"/>
      <c r="CY582" s="128"/>
      <c r="CZ582" s="129"/>
      <c r="DB582" s="132"/>
      <c r="DC582" s="128"/>
      <c r="DD582" s="129"/>
      <c r="DF582" s="132"/>
      <c r="DG582" s="85"/>
      <c r="DH582" s="85"/>
      <c r="DI582" s="84"/>
      <c r="DK582" s="84"/>
      <c r="DP582" s="84"/>
      <c r="DU582" s="84"/>
      <c r="DY582" s="84"/>
      <c r="EC582" s="84"/>
      <c r="EG582" s="84"/>
      <c r="EK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128"/>
      <c r="AA583" s="129"/>
      <c r="AC583" s="130"/>
      <c r="AD583" s="128"/>
      <c r="AE583" s="129"/>
      <c r="AG583" s="130"/>
      <c r="AH583" s="128"/>
      <c r="AI583" s="129"/>
      <c r="AK583" s="130"/>
      <c r="AL583" s="128"/>
      <c r="AM583" s="129"/>
      <c r="AO583" s="130"/>
      <c r="AP583" s="128"/>
      <c r="AQ583" s="129"/>
      <c r="AS583" s="130"/>
      <c r="AT583" s="128"/>
      <c r="AU583" s="129"/>
      <c r="AW583" s="130"/>
      <c r="AX583" s="85"/>
      <c r="AY583" s="84"/>
      <c r="AZ583" s="84"/>
      <c r="BA583" s="131"/>
      <c r="BB583" s="84"/>
      <c r="BE583" s="84"/>
      <c r="BI583" s="86"/>
      <c r="BO583" s="84"/>
      <c r="BT583" s="84"/>
      <c r="BY583" s="84"/>
      <c r="CD583" s="84"/>
      <c r="CI583" s="128"/>
      <c r="CJ583" s="129"/>
      <c r="CL583" s="132"/>
      <c r="CM583" s="128"/>
      <c r="CN583" s="129"/>
      <c r="CP583" s="132"/>
      <c r="CQ583" s="128"/>
      <c r="CR583" s="129"/>
      <c r="CT583" s="132"/>
      <c r="CU583" s="128"/>
      <c r="CV583" s="129"/>
      <c r="CX583" s="132"/>
      <c r="CY583" s="128"/>
      <c r="CZ583" s="129"/>
      <c r="DB583" s="132"/>
      <c r="DC583" s="128"/>
      <c r="DD583" s="129"/>
      <c r="DF583" s="132"/>
      <c r="DG583" s="85"/>
      <c r="DH583" s="85"/>
      <c r="DI583" s="84"/>
      <c r="DK583" s="84"/>
      <c r="DP583" s="84"/>
      <c r="DU583" s="84"/>
      <c r="DY583" s="84"/>
      <c r="EC583" s="84"/>
      <c r="EG583" s="84"/>
      <c r="EK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128"/>
      <c r="AA584" s="129"/>
      <c r="AC584" s="130"/>
      <c r="AD584" s="128"/>
      <c r="AE584" s="129"/>
      <c r="AG584" s="130"/>
      <c r="AH584" s="128"/>
      <c r="AI584" s="129"/>
      <c r="AK584" s="130"/>
      <c r="AL584" s="128"/>
      <c r="AM584" s="129"/>
      <c r="AO584" s="130"/>
      <c r="AP584" s="128"/>
      <c r="AQ584" s="129"/>
      <c r="AS584" s="130"/>
      <c r="AT584" s="128"/>
      <c r="AU584" s="129"/>
      <c r="AW584" s="130"/>
      <c r="AX584" s="85"/>
      <c r="AY584" s="84"/>
      <c r="AZ584" s="84"/>
      <c r="BA584" s="131"/>
      <c r="BB584" s="84"/>
      <c r="BE584" s="84"/>
      <c r="BI584" s="86"/>
      <c r="BO584" s="84"/>
      <c r="BT584" s="84"/>
      <c r="BY584" s="84"/>
      <c r="CD584" s="84"/>
      <c r="CI584" s="128"/>
      <c r="CJ584" s="129"/>
      <c r="CL584" s="132"/>
      <c r="CM584" s="128"/>
      <c r="CN584" s="129"/>
      <c r="CP584" s="132"/>
      <c r="CQ584" s="128"/>
      <c r="CR584" s="129"/>
      <c r="CT584" s="132"/>
      <c r="CU584" s="128"/>
      <c r="CV584" s="129"/>
      <c r="CX584" s="132"/>
      <c r="CY584" s="128"/>
      <c r="CZ584" s="129"/>
      <c r="DB584" s="132"/>
      <c r="DC584" s="128"/>
      <c r="DD584" s="129"/>
      <c r="DF584" s="132"/>
      <c r="DG584" s="85"/>
      <c r="DH584" s="85"/>
      <c r="DI584" s="84"/>
      <c r="DK584" s="84"/>
      <c r="DP584" s="84"/>
      <c r="DU584" s="84"/>
      <c r="DY584" s="84"/>
      <c r="EC584" s="84"/>
      <c r="EG584" s="84"/>
      <c r="EK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128"/>
      <c r="AA585" s="129"/>
      <c r="AC585" s="130"/>
      <c r="AD585" s="128"/>
      <c r="AE585" s="129"/>
      <c r="AG585" s="130"/>
      <c r="AH585" s="128"/>
      <c r="AI585" s="129"/>
      <c r="AK585" s="130"/>
      <c r="AL585" s="128"/>
      <c r="AM585" s="129"/>
      <c r="AO585" s="130"/>
      <c r="AP585" s="128"/>
      <c r="AQ585" s="129"/>
      <c r="AS585" s="130"/>
      <c r="AT585" s="128"/>
      <c r="AU585" s="129"/>
      <c r="AW585" s="130"/>
      <c r="AX585" s="85"/>
      <c r="AY585" s="84"/>
      <c r="AZ585" s="84"/>
      <c r="BA585" s="131"/>
      <c r="BB585" s="84"/>
      <c r="BE585" s="84"/>
      <c r="BI585" s="86"/>
      <c r="BO585" s="84"/>
      <c r="BT585" s="84"/>
      <c r="BY585" s="84"/>
      <c r="CD585" s="84"/>
      <c r="CI585" s="128"/>
      <c r="CJ585" s="129"/>
      <c r="CL585" s="132"/>
      <c r="CM585" s="128"/>
      <c r="CN585" s="129"/>
      <c r="CP585" s="132"/>
      <c r="CQ585" s="128"/>
      <c r="CR585" s="129"/>
      <c r="CT585" s="132"/>
      <c r="CU585" s="128"/>
      <c r="CV585" s="129"/>
      <c r="CX585" s="132"/>
      <c r="CY585" s="128"/>
      <c r="CZ585" s="129"/>
      <c r="DB585" s="132"/>
      <c r="DC585" s="128"/>
      <c r="DD585" s="129"/>
      <c r="DF585" s="132"/>
      <c r="DG585" s="85"/>
      <c r="DH585" s="85"/>
      <c r="DI585" s="84"/>
      <c r="DK585" s="84"/>
      <c r="DP585" s="84"/>
      <c r="DU585" s="84"/>
      <c r="DY585" s="84"/>
      <c r="EC585" s="84"/>
      <c r="EG585" s="84"/>
      <c r="EK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128"/>
      <c r="AA586" s="129"/>
      <c r="AC586" s="130"/>
      <c r="AD586" s="128"/>
      <c r="AE586" s="129"/>
      <c r="AG586" s="130"/>
      <c r="AH586" s="128"/>
      <c r="AI586" s="129"/>
      <c r="AK586" s="130"/>
      <c r="AL586" s="128"/>
      <c r="AM586" s="129"/>
      <c r="AO586" s="130"/>
      <c r="AP586" s="128"/>
      <c r="AQ586" s="129"/>
      <c r="AS586" s="130"/>
      <c r="AT586" s="128"/>
      <c r="AU586" s="129"/>
      <c r="AW586" s="130"/>
      <c r="AX586" s="85"/>
      <c r="AY586" s="84"/>
      <c r="AZ586" s="84"/>
      <c r="BA586" s="131"/>
      <c r="BB586" s="84"/>
      <c r="BE586" s="84"/>
      <c r="BI586" s="86"/>
      <c r="BO586" s="84"/>
      <c r="BT586" s="84"/>
      <c r="BY586" s="84"/>
      <c r="CD586" s="84"/>
      <c r="CI586" s="128"/>
      <c r="CJ586" s="129"/>
      <c r="CL586" s="132"/>
      <c r="CM586" s="128"/>
      <c r="CN586" s="129"/>
      <c r="CP586" s="132"/>
      <c r="CQ586" s="128"/>
      <c r="CR586" s="129"/>
      <c r="CT586" s="132"/>
      <c r="CU586" s="128"/>
      <c r="CV586" s="129"/>
      <c r="CX586" s="132"/>
      <c r="CY586" s="128"/>
      <c r="CZ586" s="129"/>
      <c r="DB586" s="132"/>
      <c r="DC586" s="128"/>
      <c r="DD586" s="129"/>
      <c r="DF586" s="132"/>
      <c r="DG586" s="85"/>
      <c r="DH586" s="85"/>
      <c r="DI586" s="84"/>
      <c r="DK586" s="84"/>
      <c r="DP586" s="84"/>
      <c r="DU586" s="84"/>
      <c r="DY586" s="84"/>
      <c r="EC586" s="84"/>
      <c r="EG586" s="84"/>
      <c r="EK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128"/>
      <c r="AA587" s="129"/>
      <c r="AC587" s="130"/>
      <c r="AD587" s="128"/>
      <c r="AE587" s="129"/>
      <c r="AG587" s="130"/>
      <c r="AH587" s="128"/>
      <c r="AI587" s="129"/>
      <c r="AK587" s="130"/>
      <c r="AL587" s="128"/>
      <c r="AM587" s="129"/>
      <c r="AO587" s="130"/>
      <c r="AP587" s="128"/>
      <c r="AQ587" s="129"/>
      <c r="AS587" s="130"/>
      <c r="AT587" s="128"/>
      <c r="AU587" s="129"/>
      <c r="AW587" s="130"/>
      <c r="AX587" s="85"/>
      <c r="AY587" s="84"/>
      <c r="AZ587" s="84"/>
      <c r="BA587" s="131"/>
      <c r="BB587" s="84"/>
      <c r="BE587" s="84"/>
      <c r="BI587" s="86"/>
      <c r="BO587" s="84"/>
      <c r="BT587" s="84"/>
      <c r="BY587" s="84"/>
      <c r="CD587" s="84"/>
      <c r="CI587" s="128"/>
      <c r="CJ587" s="129"/>
      <c r="CL587" s="132"/>
      <c r="CM587" s="128"/>
      <c r="CN587" s="129"/>
      <c r="CP587" s="132"/>
      <c r="CQ587" s="128"/>
      <c r="CR587" s="129"/>
      <c r="CT587" s="132"/>
      <c r="CU587" s="128"/>
      <c r="CV587" s="129"/>
      <c r="CX587" s="132"/>
      <c r="CY587" s="128"/>
      <c r="CZ587" s="129"/>
      <c r="DB587" s="132"/>
      <c r="DC587" s="128"/>
      <c r="DD587" s="129"/>
      <c r="DF587" s="132"/>
      <c r="DG587" s="85"/>
      <c r="DH587" s="85"/>
      <c r="DI587" s="84"/>
      <c r="DK587" s="84"/>
      <c r="DP587" s="84"/>
      <c r="DU587" s="84"/>
      <c r="DY587" s="84"/>
      <c r="EC587" s="84"/>
      <c r="EG587" s="84"/>
      <c r="EK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128"/>
      <c r="AA588" s="129"/>
      <c r="AC588" s="130"/>
      <c r="AD588" s="128"/>
      <c r="AE588" s="129"/>
      <c r="AG588" s="130"/>
      <c r="AH588" s="128"/>
      <c r="AI588" s="129"/>
      <c r="AK588" s="130"/>
      <c r="AL588" s="128"/>
      <c r="AM588" s="129"/>
      <c r="AO588" s="130"/>
      <c r="AP588" s="128"/>
      <c r="AQ588" s="129"/>
      <c r="AS588" s="130"/>
      <c r="AT588" s="128"/>
      <c r="AU588" s="129"/>
      <c r="AW588" s="130"/>
      <c r="AX588" s="85"/>
      <c r="AY588" s="84"/>
      <c r="AZ588" s="84"/>
      <c r="BA588" s="131"/>
      <c r="BB588" s="84"/>
      <c r="BE588" s="84"/>
      <c r="BI588" s="86"/>
      <c r="BO588" s="84"/>
      <c r="BT588" s="84"/>
      <c r="BY588" s="84"/>
      <c r="CD588" s="84"/>
      <c r="CI588" s="128"/>
      <c r="CJ588" s="129"/>
      <c r="CL588" s="132"/>
      <c r="CM588" s="128"/>
      <c r="CN588" s="129"/>
      <c r="CP588" s="132"/>
      <c r="CQ588" s="128"/>
      <c r="CR588" s="129"/>
      <c r="CT588" s="132"/>
      <c r="CU588" s="128"/>
      <c r="CV588" s="129"/>
      <c r="CX588" s="132"/>
      <c r="CY588" s="128"/>
      <c r="CZ588" s="129"/>
      <c r="DB588" s="132"/>
      <c r="DC588" s="128"/>
      <c r="DD588" s="129"/>
      <c r="DF588" s="132"/>
      <c r="DG588" s="85"/>
      <c r="DH588" s="85"/>
      <c r="DI588" s="84"/>
      <c r="DK588" s="84"/>
      <c r="DP588" s="84"/>
      <c r="DU588" s="84"/>
      <c r="DY588" s="84"/>
      <c r="EC588" s="84"/>
      <c r="EG588" s="84"/>
      <c r="EK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128"/>
      <c r="AA589" s="129"/>
      <c r="AC589" s="130"/>
      <c r="AD589" s="128"/>
      <c r="AE589" s="129"/>
      <c r="AG589" s="130"/>
      <c r="AH589" s="128"/>
      <c r="AI589" s="129"/>
      <c r="AK589" s="130"/>
      <c r="AL589" s="128"/>
      <c r="AM589" s="129"/>
      <c r="AO589" s="130"/>
      <c r="AP589" s="128"/>
      <c r="AQ589" s="129"/>
      <c r="AS589" s="130"/>
      <c r="AT589" s="128"/>
      <c r="AU589" s="129"/>
      <c r="AW589" s="130"/>
      <c r="AX589" s="85"/>
      <c r="AY589" s="84"/>
      <c r="AZ589" s="84"/>
      <c r="BA589" s="131"/>
      <c r="BB589" s="84"/>
      <c r="BE589" s="84"/>
      <c r="BI589" s="86"/>
      <c r="BO589" s="84"/>
      <c r="BT589" s="84"/>
      <c r="BY589" s="84"/>
      <c r="CD589" s="84"/>
      <c r="CI589" s="128"/>
      <c r="CJ589" s="129"/>
      <c r="CL589" s="132"/>
      <c r="CM589" s="128"/>
      <c r="CN589" s="129"/>
      <c r="CP589" s="132"/>
      <c r="CQ589" s="128"/>
      <c r="CR589" s="129"/>
      <c r="CT589" s="132"/>
      <c r="CU589" s="128"/>
      <c r="CV589" s="129"/>
      <c r="CX589" s="132"/>
      <c r="CY589" s="128"/>
      <c r="CZ589" s="129"/>
      <c r="DB589" s="132"/>
      <c r="DC589" s="128"/>
      <c r="DD589" s="129"/>
      <c r="DF589" s="132"/>
      <c r="DG589" s="85"/>
      <c r="DH589" s="85"/>
      <c r="DI589" s="84"/>
      <c r="DK589" s="84"/>
      <c r="DP589" s="84"/>
      <c r="DU589" s="84"/>
      <c r="DY589" s="84"/>
      <c r="EC589" s="84"/>
      <c r="EG589" s="84"/>
      <c r="EK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128"/>
      <c r="AA590" s="129"/>
      <c r="AC590" s="130"/>
      <c r="AD590" s="128"/>
      <c r="AE590" s="129"/>
      <c r="AG590" s="130"/>
      <c r="AH590" s="128"/>
      <c r="AI590" s="129"/>
      <c r="AK590" s="130"/>
      <c r="AL590" s="128"/>
      <c r="AM590" s="129"/>
      <c r="AO590" s="130"/>
      <c r="AP590" s="128"/>
      <c r="AQ590" s="129"/>
      <c r="AS590" s="130"/>
      <c r="AT590" s="128"/>
      <c r="AU590" s="129"/>
      <c r="AW590" s="130"/>
      <c r="AX590" s="85"/>
      <c r="AY590" s="84"/>
      <c r="AZ590" s="84"/>
      <c r="BA590" s="131"/>
      <c r="BB590" s="84"/>
      <c r="BE590" s="84"/>
      <c r="BI590" s="86"/>
      <c r="BO590" s="84"/>
      <c r="BT590" s="84"/>
      <c r="BY590" s="84"/>
      <c r="CD590" s="84"/>
      <c r="CI590" s="128"/>
      <c r="CJ590" s="129"/>
      <c r="CL590" s="132"/>
      <c r="CM590" s="128"/>
      <c r="CN590" s="129"/>
      <c r="CP590" s="132"/>
      <c r="CQ590" s="128"/>
      <c r="CR590" s="129"/>
      <c r="CT590" s="132"/>
      <c r="CU590" s="128"/>
      <c r="CV590" s="129"/>
      <c r="CX590" s="132"/>
      <c r="CY590" s="128"/>
      <c r="CZ590" s="129"/>
      <c r="DB590" s="132"/>
      <c r="DC590" s="128"/>
      <c r="DD590" s="129"/>
      <c r="DF590" s="132"/>
      <c r="DG590" s="85"/>
      <c r="DH590" s="85"/>
      <c r="DI590" s="84"/>
      <c r="DK590" s="84"/>
      <c r="DP590" s="84"/>
      <c r="DU590" s="84"/>
      <c r="DY590" s="84"/>
      <c r="EC590" s="84"/>
      <c r="EG590" s="84"/>
      <c r="EK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128"/>
      <c r="AA591" s="129"/>
      <c r="AC591" s="130"/>
      <c r="AD591" s="128"/>
      <c r="AE591" s="129"/>
      <c r="AG591" s="130"/>
      <c r="AH591" s="128"/>
      <c r="AI591" s="129"/>
      <c r="AK591" s="130"/>
      <c r="AL591" s="128"/>
      <c r="AM591" s="129"/>
      <c r="AO591" s="130"/>
      <c r="AP591" s="128"/>
      <c r="AQ591" s="129"/>
      <c r="AS591" s="130"/>
      <c r="AT591" s="128"/>
      <c r="AU591" s="129"/>
      <c r="AW591" s="130"/>
      <c r="AX591" s="85"/>
      <c r="AY591" s="84"/>
      <c r="AZ591" s="84"/>
      <c r="BA591" s="131"/>
      <c r="BB591" s="84"/>
      <c r="BE591" s="84"/>
      <c r="BI591" s="86"/>
      <c r="BO591" s="84"/>
      <c r="BT591" s="84"/>
      <c r="BY591" s="84"/>
      <c r="CD591" s="84"/>
      <c r="CI591" s="128"/>
      <c r="CJ591" s="129"/>
      <c r="CL591" s="132"/>
      <c r="CM591" s="128"/>
      <c r="CN591" s="129"/>
      <c r="CP591" s="132"/>
      <c r="CQ591" s="128"/>
      <c r="CR591" s="129"/>
      <c r="CT591" s="132"/>
      <c r="CU591" s="128"/>
      <c r="CV591" s="129"/>
      <c r="CX591" s="132"/>
      <c r="CY591" s="128"/>
      <c r="CZ591" s="129"/>
      <c r="DB591" s="132"/>
      <c r="DC591" s="128"/>
      <c r="DD591" s="129"/>
      <c r="DF591" s="132"/>
      <c r="DG591" s="85"/>
      <c r="DH591" s="85"/>
      <c r="DI591" s="84"/>
      <c r="DK591" s="84"/>
      <c r="DP591" s="84"/>
      <c r="DU591" s="84"/>
      <c r="DY591" s="84"/>
      <c r="EC591" s="84"/>
      <c r="EG591" s="84"/>
      <c r="EK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128"/>
      <c r="AA592" s="129"/>
      <c r="AC592" s="130"/>
      <c r="AD592" s="128"/>
      <c r="AE592" s="129"/>
      <c r="AG592" s="130"/>
      <c r="AH592" s="128"/>
      <c r="AI592" s="129"/>
      <c r="AK592" s="130"/>
      <c r="AL592" s="128"/>
      <c r="AM592" s="129"/>
      <c r="AO592" s="130"/>
      <c r="AP592" s="128"/>
      <c r="AQ592" s="129"/>
      <c r="AS592" s="130"/>
      <c r="AT592" s="128"/>
      <c r="AU592" s="129"/>
      <c r="AW592" s="130"/>
      <c r="AX592" s="85"/>
      <c r="AY592" s="84"/>
      <c r="AZ592" s="84"/>
      <c r="BA592" s="131"/>
      <c r="BB592" s="84"/>
      <c r="BE592" s="84"/>
      <c r="BI592" s="86"/>
      <c r="BO592" s="84"/>
      <c r="BT592" s="84"/>
      <c r="BY592" s="84"/>
      <c r="CD592" s="84"/>
      <c r="CI592" s="128"/>
      <c r="CJ592" s="129"/>
      <c r="CL592" s="132"/>
      <c r="CM592" s="128"/>
      <c r="CN592" s="129"/>
      <c r="CP592" s="132"/>
      <c r="CQ592" s="128"/>
      <c r="CR592" s="129"/>
      <c r="CT592" s="132"/>
      <c r="CU592" s="128"/>
      <c r="CV592" s="129"/>
      <c r="CX592" s="132"/>
      <c r="CY592" s="128"/>
      <c r="CZ592" s="129"/>
      <c r="DB592" s="132"/>
      <c r="DC592" s="128"/>
      <c r="DD592" s="129"/>
      <c r="DF592" s="132"/>
      <c r="DG592" s="85"/>
      <c r="DH592" s="85"/>
      <c r="DI592" s="84"/>
      <c r="DK592" s="84"/>
      <c r="DP592" s="84"/>
      <c r="DU592" s="84"/>
      <c r="DY592" s="84"/>
      <c r="EC592" s="84"/>
      <c r="EG592" s="84"/>
      <c r="EK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128"/>
      <c r="AA593" s="129"/>
      <c r="AC593" s="130"/>
      <c r="AD593" s="128"/>
      <c r="AE593" s="129"/>
      <c r="AG593" s="130"/>
      <c r="AH593" s="128"/>
      <c r="AI593" s="129"/>
      <c r="AK593" s="130"/>
      <c r="AL593" s="128"/>
      <c r="AM593" s="129"/>
      <c r="AO593" s="130"/>
      <c r="AP593" s="128"/>
      <c r="AQ593" s="129"/>
      <c r="AS593" s="130"/>
      <c r="AT593" s="128"/>
      <c r="AU593" s="129"/>
      <c r="AW593" s="130"/>
      <c r="AX593" s="85"/>
      <c r="AY593" s="84"/>
      <c r="AZ593" s="84"/>
      <c r="BA593" s="131"/>
      <c r="BB593" s="84"/>
      <c r="BE593" s="84"/>
      <c r="BI593" s="86"/>
      <c r="BO593" s="84"/>
      <c r="BT593" s="84"/>
      <c r="BY593" s="84"/>
      <c r="CD593" s="84"/>
      <c r="CI593" s="128"/>
      <c r="CJ593" s="129"/>
      <c r="CL593" s="132"/>
      <c r="CM593" s="128"/>
      <c r="CN593" s="129"/>
      <c r="CP593" s="132"/>
      <c r="CQ593" s="128"/>
      <c r="CR593" s="129"/>
      <c r="CT593" s="132"/>
      <c r="CU593" s="128"/>
      <c r="CV593" s="129"/>
      <c r="CX593" s="132"/>
      <c r="CY593" s="128"/>
      <c r="CZ593" s="129"/>
      <c r="DB593" s="132"/>
      <c r="DC593" s="128"/>
      <c r="DD593" s="129"/>
      <c r="DF593" s="132"/>
      <c r="DG593" s="85"/>
      <c r="DH593" s="85"/>
      <c r="DI593" s="84"/>
      <c r="DK593" s="84"/>
      <c r="DP593" s="84"/>
      <c r="DU593" s="84"/>
      <c r="DY593" s="84"/>
      <c r="EC593" s="84"/>
      <c r="EG593" s="84"/>
      <c r="EK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128"/>
      <c r="AA594" s="129"/>
      <c r="AC594" s="130"/>
      <c r="AD594" s="128"/>
      <c r="AE594" s="129"/>
      <c r="AG594" s="130"/>
      <c r="AH594" s="128"/>
      <c r="AI594" s="129"/>
      <c r="AK594" s="130"/>
      <c r="AL594" s="128"/>
      <c r="AM594" s="129"/>
      <c r="AO594" s="130"/>
      <c r="AP594" s="128"/>
      <c r="AQ594" s="129"/>
      <c r="AS594" s="130"/>
      <c r="AT594" s="128"/>
      <c r="AU594" s="129"/>
      <c r="AW594" s="130"/>
      <c r="AX594" s="85"/>
      <c r="AY594" s="84"/>
      <c r="AZ594" s="84"/>
      <c r="BA594" s="131"/>
      <c r="BB594" s="84"/>
      <c r="BE594" s="84"/>
      <c r="BI594" s="86"/>
      <c r="BO594" s="84"/>
      <c r="BT594" s="84"/>
      <c r="BY594" s="84"/>
      <c r="CD594" s="84"/>
      <c r="CI594" s="128"/>
      <c r="CJ594" s="129"/>
      <c r="CL594" s="132"/>
      <c r="CM594" s="128"/>
      <c r="CN594" s="129"/>
      <c r="CP594" s="132"/>
      <c r="CQ594" s="128"/>
      <c r="CR594" s="129"/>
      <c r="CT594" s="132"/>
      <c r="CU594" s="128"/>
      <c r="CV594" s="129"/>
      <c r="CX594" s="132"/>
      <c r="CY594" s="128"/>
      <c r="CZ594" s="129"/>
      <c r="DB594" s="132"/>
      <c r="DC594" s="128"/>
      <c r="DD594" s="129"/>
      <c r="DF594" s="132"/>
      <c r="DG594" s="85"/>
      <c r="DH594" s="85"/>
      <c r="DI594" s="84"/>
      <c r="DK594" s="84"/>
      <c r="DP594" s="84"/>
      <c r="DU594" s="84"/>
      <c r="DY594" s="84"/>
      <c r="EC594" s="84"/>
      <c r="EG594" s="84"/>
      <c r="EK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128"/>
      <c r="AA595" s="129"/>
      <c r="AC595" s="130"/>
      <c r="AD595" s="128"/>
      <c r="AE595" s="129"/>
      <c r="AG595" s="130"/>
      <c r="AH595" s="128"/>
      <c r="AI595" s="129"/>
      <c r="AK595" s="130"/>
      <c r="AL595" s="128"/>
      <c r="AM595" s="129"/>
      <c r="AO595" s="130"/>
      <c r="AP595" s="128"/>
      <c r="AQ595" s="129"/>
      <c r="AS595" s="130"/>
      <c r="AT595" s="128"/>
      <c r="AU595" s="129"/>
      <c r="AW595" s="130"/>
      <c r="AX595" s="85"/>
      <c r="AY595" s="84"/>
      <c r="AZ595" s="84"/>
      <c r="BA595" s="131"/>
      <c r="BB595" s="84"/>
      <c r="BE595" s="84"/>
      <c r="BI595" s="86"/>
      <c r="BO595" s="84"/>
      <c r="BT595" s="84"/>
      <c r="BY595" s="84"/>
      <c r="CD595" s="84"/>
      <c r="CI595" s="128"/>
      <c r="CJ595" s="129"/>
      <c r="CL595" s="132"/>
      <c r="CM595" s="128"/>
      <c r="CN595" s="129"/>
      <c r="CP595" s="132"/>
      <c r="CQ595" s="128"/>
      <c r="CR595" s="129"/>
      <c r="CT595" s="132"/>
      <c r="CU595" s="128"/>
      <c r="CV595" s="129"/>
      <c r="CX595" s="132"/>
      <c r="CY595" s="128"/>
      <c r="CZ595" s="129"/>
      <c r="DB595" s="132"/>
      <c r="DC595" s="128"/>
      <c r="DD595" s="129"/>
      <c r="DF595" s="132"/>
      <c r="DG595" s="85"/>
      <c r="DH595" s="85"/>
      <c r="DI595" s="84"/>
      <c r="DK595" s="84"/>
      <c r="DP595" s="84"/>
      <c r="DU595" s="84"/>
      <c r="DY595" s="84"/>
      <c r="EC595" s="84"/>
      <c r="EG595" s="84"/>
      <c r="EK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128"/>
      <c r="AA596" s="129"/>
      <c r="AC596" s="130"/>
      <c r="AD596" s="128"/>
      <c r="AE596" s="129"/>
      <c r="AG596" s="130"/>
      <c r="AH596" s="128"/>
      <c r="AI596" s="129"/>
      <c r="AK596" s="130"/>
      <c r="AL596" s="128"/>
      <c r="AM596" s="129"/>
      <c r="AO596" s="130"/>
      <c r="AP596" s="128"/>
      <c r="AQ596" s="129"/>
      <c r="AS596" s="130"/>
      <c r="AT596" s="128"/>
      <c r="AU596" s="129"/>
      <c r="AW596" s="130"/>
      <c r="AX596" s="85"/>
      <c r="AY596" s="84"/>
      <c r="AZ596" s="84"/>
      <c r="BA596" s="131"/>
      <c r="BB596" s="84"/>
      <c r="BE596" s="84"/>
      <c r="BI596" s="86"/>
      <c r="BO596" s="84"/>
      <c r="BT596" s="84"/>
      <c r="BY596" s="84"/>
      <c r="CD596" s="84"/>
      <c r="CI596" s="128"/>
      <c r="CJ596" s="129"/>
      <c r="CL596" s="132"/>
      <c r="CM596" s="128"/>
      <c r="CN596" s="129"/>
      <c r="CP596" s="132"/>
      <c r="CQ596" s="128"/>
      <c r="CR596" s="129"/>
      <c r="CT596" s="132"/>
      <c r="CU596" s="128"/>
      <c r="CV596" s="129"/>
      <c r="CX596" s="132"/>
      <c r="CY596" s="128"/>
      <c r="CZ596" s="129"/>
      <c r="DB596" s="132"/>
      <c r="DC596" s="128"/>
      <c r="DD596" s="129"/>
      <c r="DF596" s="132"/>
      <c r="DG596" s="85"/>
      <c r="DH596" s="85"/>
      <c r="DI596" s="84"/>
      <c r="DK596" s="84"/>
      <c r="DP596" s="84"/>
      <c r="DU596" s="84"/>
      <c r="DY596" s="84"/>
      <c r="EC596" s="84"/>
      <c r="EG596" s="84"/>
      <c r="EK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128"/>
      <c r="AA597" s="129"/>
      <c r="AC597" s="130"/>
      <c r="AD597" s="128"/>
      <c r="AE597" s="129"/>
      <c r="AG597" s="130"/>
      <c r="AH597" s="128"/>
      <c r="AI597" s="129"/>
      <c r="AK597" s="130"/>
      <c r="AL597" s="128"/>
      <c r="AM597" s="129"/>
      <c r="AO597" s="130"/>
      <c r="AP597" s="128"/>
      <c r="AQ597" s="129"/>
      <c r="AS597" s="130"/>
      <c r="AT597" s="128"/>
      <c r="AU597" s="129"/>
      <c r="AW597" s="130"/>
      <c r="AX597" s="85"/>
      <c r="AY597" s="84"/>
      <c r="AZ597" s="84"/>
      <c r="BA597" s="131"/>
      <c r="BB597" s="84"/>
      <c r="BE597" s="84"/>
      <c r="BI597" s="86"/>
      <c r="BO597" s="84"/>
      <c r="BT597" s="84"/>
      <c r="BY597" s="84"/>
      <c r="CD597" s="84"/>
      <c r="CI597" s="128"/>
      <c r="CJ597" s="129"/>
      <c r="CL597" s="132"/>
      <c r="CM597" s="128"/>
      <c r="CN597" s="129"/>
      <c r="CP597" s="132"/>
      <c r="CQ597" s="128"/>
      <c r="CR597" s="129"/>
      <c r="CT597" s="132"/>
      <c r="CU597" s="128"/>
      <c r="CV597" s="129"/>
      <c r="CX597" s="132"/>
      <c r="CY597" s="128"/>
      <c r="CZ597" s="129"/>
      <c r="DB597" s="132"/>
      <c r="DC597" s="128"/>
      <c r="DD597" s="129"/>
      <c r="DF597" s="132"/>
      <c r="DG597" s="85"/>
      <c r="DH597" s="85"/>
      <c r="DI597" s="84"/>
      <c r="DK597" s="84"/>
      <c r="DP597" s="84"/>
      <c r="DU597" s="84"/>
      <c r="DY597" s="84"/>
      <c r="EC597" s="84"/>
      <c r="EG597" s="84"/>
      <c r="EK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128"/>
      <c r="AA598" s="129"/>
      <c r="AC598" s="130"/>
      <c r="AD598" s="128"/>
      <c r="AE598" s="129"/>
      <c r="AG598" s="130"/>
      <c r="AH598" s="128"/>
      <c r="AI598" s="129"/>
      <c r="AK598" s="130"/>
      <c r="AL598" s="128"/>
      <c r="AM598" s="129"/>
      <c r="AO598" s="130"/>
      <c r="AP598" s="128"/>
      <c r="AQ598" s="129"/>
      <c r="AS598" s="130"/>
      <c r="AT598" s="128"/>
      <c r="AU598" s="129"/>
      <c r="AW598" s="130"/>
      <c r="AX598" s="85"/>
      <c r="AY598" s="84"/>
      <c r="AZ598" s="84"/>
      <c r="BA598" s="131"/>
      <c r="BB598" s="84"/>
      <c r="BE598" s="84"/>
      <c r="BI598" s="86"/>
      <c r="BO598" s="84"/>
      <c r="BT598" s="84"/>
      <c r="BY598" s="84"/>
      <c r="CD598" s="84"/>
      <c r="CI598" s="128"/>
      <c r="CJ598" s="129"/>
      <c r="CL598" s="132"/>
      <c r="CM598" s="128"/>
      <c r="CN598" s="129"/>
      <c r="CP598" s="132"/>
      <c r="CQ598" s="128"/>
      <c r="CR598" s="129"/>
      <c r="CT598" s="132"/>
      <c r="CU598" s="128"/>
      <c r="CV598" s="129"/>
      <c r="CX598" s="132"/>
      <c r="CY598" s="128"/>
      <c r="CZ598" s="129"/>
      <c r="DB598" s="132"/>
      <c r="DC598" s="128"/>
      <c r="DD598" s="129"/>
      <c r="DF598" s="132"/>
      <c r="DG598" s="85"/>
      <c r="DH598" s="85"/>
      <c r="DI598" s="84"/>
      <c r="DK598" s="84"/>
      <c r="DP598" s="84"/>
      <c r="DU598" s="84"/>
      <c r="DY598" s="84"/>
      <c r="EC598" s="84"/>
      <c r="EG598" s="84"/>
      <c r="EK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128"/>
      <c r="AA599" s="129"/>
      <c r="AC599" s="130"/>
      <c r="AD599" s="128"/>
      <c r="AE599" s="129"/>
      <c r="AG599" s="130"/>
      <c r="AH599" s="128"/>
      <c r="AI599" s="129"/>
      <c r="AK599" s="130"/>
      <c r="AL599" s="128"/>
      <c r="AM599" s="129"/>
      <c r="AO599" s="130"/>
      <c r="AP599" s="128"/>
      <c r="AQ599" s="129"/>
      <c r="AS599" s="130"/>
      <c r="AT599" s="128"/>
      <c r="AU599" s="129"/>
      <c r="AW599" s="130"/>
      <c r="AX599" s="85"/>
      <c r="AY599" s="84"/>
      <c r="AZ599" s="84"/>
      <c r="BA599" s="131"/>
      <c r="BB599" s="84"/>
      <c r="BE599" s="84"/>
      <c r="BI599" s="86"/>
      <c r="BO599" s="84"/>
      <c r="BT599" s="84"/>
      <c r="BY599" s="84"/>
      <c r="CD599" s="84"/>
      <c r="CI599" s="128"/>
      <c r="CJ599" s="129"/>
      <c r="CL599" s="132"/>
      <c r="CM599" s="128"/>
      <c r="CN599" s="129"/>
      <c r="CP599" s="132"/>
      <c r="CQ599" s="128"/>
      <c r="CR599" s="129"/>
      <c r="CT599" s="132"/>
      <c r="CU599" s="128"/>
      <c r="CV599" s="129"/>
      <c r="CX599" s="132"/>
      <c r="CY599" s="128"/>
      <c r="CZ599" s="129"/>
      <c r="DB599" s="132"/>
      <c r="DC599" s="128"/>
      <c r="DD599" s="129"/>
      <c r="DF599" s="132"/>
      <c r="DG599" s="85"/>
      <c r="DH599" s="85"/>
      <c r="DI599" s="84"/>
      <c r="DK599" s="84"/>
      <c r="DP599" s="84"/>
      <c r="DU599" s="84"/>
      <c r="DY599" s="84"/>
      <c r="EC599" s="84"/>
      <c r="EG599" s="84"/>
      <c r="EK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128"/>
      <c r="AA600" s="129"/>
      <c r="AC600" s="130"/>
      <c r="AD600" s="128"/>
      <c r="AE600" s="129"/>
      <c r="AG600" s="130"/>
      <c r="AH600" s="128"/>
      <c r="AI600" s="129"/>
      <c r="AK600" s="130"/>
      <c r="AL600" s="128"/>
      <c r="AM600" s="129"/>
      <c r="AO600" s="130"/>
      <c r="AP600" s="128"/>
      <c r="AQ600" s="129"/>
      <c r="AS600" s="130"/>
      <c r="AT600" s="128"/>
      <c r="AU600" s="129"/>
      <c r="AW600" s="130"/>
      <c r="AX600" s="85"/>
      <c r="AY600" s="84"/>
      <c r="AZ600" s="84"/>
      <c r="BA600" s="131"/>
      <c r="BB600" s="84"/>
      <c r="BE600" s="84"/>
      <c r="BI600" s="86"/>
      <c r="BO600" s="84"/>
      <c r="BT600" s="84"/>
      <c r="BY600" s="84"/>
      <c r="CD600" s="84"/>
      <c r="CI600" s="128"/>
      <c r="CJ600" s="129"/>
      <c r="CL600" s="132"/>
      <c r="CM600" s="128"/>
      <c r="CN600" s="129"/>
      <c r="CP600" s="132"/>
      <c r="CQ600" s="128"/>
      <c r="CR600" s="129"/>
      <c r="CT600" s="132"/>
      <c r="CU600" s="128"/>
      <c r="CV600" s="129"/>
      <c r="CX600" s="132"/>
      <c r="CY600" s="128"/>
      <c r="CZ600" s="129"/>
      <c r="DB600" s="132"/>
      <c r="DC600" s="128"/>
      <c r="DD600" s="129"/>
      <c r="DF600" s="132"/>
      <c r="DG600" s="85"/>
      <c r="DH600" s="85"/>
      <c r="DI600" s="84"/>
      <c r="DK600" s="84"/>
      <c r="DP600" s="84"/>
      <c r="DU600" s="84"/>
      <c r="DY600" s="84"/>
      <c r="EC600" s="84"/>
      <c r="EG600" s="84"/>
      <c r="EK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128"/>
      <c r="AA601" s="129"/>
      <c r="AC601" s="130"/>
      <c r="AD601" s="128"/>
      <c r="AE601" s="129"/>
      <c r="AG601" s="130"/>
      <c r="AH601" s="128"/>
      <c r="AI601" s="129"/>
      <c r="AK601" s="130"/>
      <c r="AL601" s="128"/>
      <c r="AM601" s="129"/>
      <c r="AO601" s="130"/>
      <c r="AP601" s="128"/>
      <c r="AQ601" s="129"/>
      <c r="AS601" s="130"/>
      <c r="AT601" s="128"/>
      <c r="AU601" s="129"/>
      <c r="AW601" s="130"/>
      <c r="AX601" s="85"/>
      <c r="AY601" s="84"/>
      <c r="AZ601" s="84"/>
      <c r="BA601" s="131"/>
      <c r="BB601" s="84"/>
      <c r="BE601" s="84"/>
      <c r="BI601" s="86"/>
      <c r="BO601" s="84"/>
      <c r="BT601" s="84"/>
      <c r="BY601" s="84"/>
      <c r="CD601" s="84"/>
      <c r="CI601" s="128"/>
      <c r="CJ601" s="129"/>
      <c r="CL601" s="132"/>
      <c r="CM601" s="128"/>
      <c r="CN601" s="129"/>
      <c r="CP601" s="132"/>
      <c r="CQ601" s="128"/>
      <c r="CR601" s="129"/>
      <c r="CT601" s="132"/>
      <c r="CU601" s="128"/>
      <c r="CV601" s="129"/>
      <c r="CX601" s="132"/>
      <c r="CY601" s="128"/>
      <c r="CZ601" s="129"/>
      <c r="DB601" s="132"/>
      <c r="DC601" s="128"/>
      <c r="DD601" s="129"/>
      <c r="DF601" s="132"/>
      <c r="DG601" s="85"/>
      <c r="DH601" s="85"/>
      <c r="DI601" s="84"/>
      <c r="DK601" s="84"/>
      <c r="DP601" s="84"/>
      <c r="DU601" s="84"/>
      <c r="DY601" s="84"/>
      <c r="EC601" s="84"/>
      <c r="EG601" s="84"/>
      <c r="EK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128"/>
      <c r="AA602" s="129"/>
      <c r="AC602" s="130"/>
      <c r="AD602" s="128"/>
      <c r="AE602" s="129"/>
      <c r="AG602" s="130"/>
      <c r="AH602" s="128"/>
      <c r="AI602" s="129"/>
      <c r="AK602" s="130"/>
      <c r="AL602" s="128"/>
      <c r="AM602" s="129"/>
      <c r="AO602" s="130"/>
      <c r="AP602" s="128"/>
      <c r="AQ602" s="129"/>
      <c r="AS602" s="130"/>
      <c r="AT602" s="128"/>
      <c r="AU602" s="129"/>
      <c r="AW602" s="130"/>
      <c r="AX602" s="85"/>
      <c r="AY602" s="84"/>
      <c r="AZ602" s="84"/>
      <c r="BA602" s="131"/>
      <c r="BB602" s="84"/>
      <c r="BE602" s="84"/>
      <c r="BI602" s="86"/>
      <c r="BO602" s="84"/>
      <c r="BT602" s="84"/>
      <c r="BY602" s="84"/>
      <c r="CD602" s="84"/>
      <c r="CI602" s="128"/>
      <c r="CJ602" s="129"/>
      <c r="CL602" s="132"/>
      <c r="CM602" s="128"/>
      <c r="CN602" s="129"/>
      <c r="CP602" s="132"/>
      <c r="CQ602" s="128"/>
      <c r="CR602" s="129"/>
      <c r="CT602" s="132"/>
      <c r="CU602" s="128"/>
      <c r="CV602" s="129"/>
      <c r="CX602" s="132"/>
      <c r="CY602" s="128"/>
      <c r="CZ602" s="129"/>
      <c r="DB602" s="132"/>
      <c r="DC602" s="128"/>
      <c r="DD602" s="129"/>
      <c r="DF602" s="132"/>
      <c r="DG602" s="85"/>
      <c r="DH602" s="85"/>
      <c r="DI602" s="84"/>
      <c r="DK602" s="84"/>
      <c r="DP602" s="84"/>
      <c r="DU602" s="84"/>
      <c r="DY602" s="84"/>
      <c r="EC602" s="84"/>
      <c r="EG602" s="84"/>
      <c r="EK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128"/>
      <c r="AA603" s="129"/>
      <c r="AC603" s="130"/>
      <c r="AD603" s="128"/>
      <c r="AE603" s="129"/>
      <c r="AG603" s="130"/>
      <c r="AH603" s="128"/>
      <c r="AI603" s="129"/>
      <c r="AK603" s="130"/>
      <c r="AL603" s="128"/>
      <c r="AM603" s="129"/>
      <c r="AO603" s="130"/>
      <c r="AP603" s="128"/>
      <c r="AQ603" s="129"/>
      <c r="AS603" s="130"/>
      <c r="AT603" s="128"/>
      <c r="AU603" s="129"/>
      <c r="AW603" s="130"/>
      <c r="AX603" s="85"/>
      <c r="AY603" s="84"/>
      <c r="AZ603" s="84"/>
      <c r="BA603" s="131"/>
      <c r="BB603" s="84"/>
      <c r="BE603" s="84"/>
      <c r="BI603" s="86"/>
      <c r="BO603" s="84"/>
      <c r="BT603" s="84"/>
      <c r="BY603" s="84"/>
      <c r="CD603" s="84"/>
      <c r="CI603" s="128"/>
      <c r="CJ603" s="129"/>
      <c r="CL603" s="132"/>
      <c r="CM603" s="128"/>
      <c r="CN603" s="129"/>
      <c r="CP603" s="132"/>
      <c r="CQ603" s="128"/>
      <c r="CR603" s="129"/>
      <c r="CT603" s="132"/>
      <c r="CU603" s="128"/>
      <c r="CV603" s="129"/>
      <c r="CX603" s="132"/>
      <c r="CY603" s="128"/>
      <c r="CZ603" s="129"/>
      <c r="DB603" s="132"/>
      <c r="DC603" s="128"/>
      <c r="DD603" s="129"/>
      <c r="DF603" s="132"/>
      <c r="DG603" s="85"/>
      <c r="DH603" s="85"/>
      <c r="DI603" s="84"/>
      <c r="DK603" s="84"/>
      <c r="DP603" s="84"/>
      <c r="DU603" s="84"/>
      <c r="DY603" s="84"/>
      <c r="EC603" s="84"/>
      <c r="EG603" s="84"/>
      <c r="EK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128"/>
      <c r="AA604" s="129"/>
      <c r="AC604" s="130"/>
      <c r="AD604" s="128"/>
      <c r="AE604" s="129"/>
      <c r="AG604" s="130"/>
      <c r="AH604" s="128"/>
      <c r="AI604" s="129"/>
      <c r="AK604" s="130"/>
      <c r="AL604" s="128"/>
      <c r="AM604" s="129"/>
      <c r="AO604" s="130"/>
      <c r="AP604" s="128"/>
      <c r="AQ604" s="129"/>
      <c r="AS604" s="130"/>
      <c r="AT604" s="128"/>
      <c r="AU604" s="129"/>
      <c r="AW604" s="130"/>
      <c r="AX604" s="85"/>
      <c r="AY604" s="84"/>
      <c r="AZ604" s="84"/>
      <c r="BA604" s="131"/>
      <c r="BB604" s="84"/>
      <c r="BE604" s="84"/>
      <c r="BI604" s="86"/>
      <c r="BO604" s="84"/>
      <c r="BT604" s="84"/>
      <c r="BY604" s="84"/>
      <c r="CD604" s="84"/>
      <c r="CI604" s="128"/>
      <c r="CJ604" s="129"/>
      <c r="CL604" s="132"/>
      <c r="CM604" s="128"/>
      <c r="CN604" s="129"/>
      <c r="CP604" s="132"/>
      <c r="CQ604" s="128"/>
      <c r="CR604" s="129"/>
      <c r="CT604" s="132"/>
      <c r="CU604" s="128"/>
      <c r="CV604" s="129"/>
      <c r="CX604" s="132"/>
      <c r="CY604" s="128"/>
      <c r="CZ604" s="129"/>
      <c r="DB604" s="132"/>
      <c r="DC604" s="128"/>
      <c r="DD604" s="129"/>
      <c r="DF604" s="132"/>
      <c r="DG604" s="85"/>
      <c r="DH604" s="85"/>
      <c r="DI604" s="84"/>
      <c r="DK604" s="84"/>
      <c r="DP604" s="84"/>
      <c r="DU604" s="84"/>
      <c r="DY604" s="84"/>
      <c r="EC604" s="84"/>
      <c r="EG604" s="84"/>
      <c r="EK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128"/>
      <c r="AA605" s="129"/>
      <c r="AC605" s="130"/>
      <c r="AD605" s="128"/>
      <c r="AE605" s="129"/>
      <c r="AG605" s="130"/>
      <c r="AH605" s="128"/>
      <c r="AI605" s="129"/>
      <c r="AK605" s="130"/>
      <c r="AL605" s="128"/>
      <c r="AM605" s="129"/>
      <c r="AO605" s="130"/>
      <c r="AP605" s="128"/>
      <c r="AQ605" s="129"/>
      <c r="AS605" s="130"/>
      <c r="AT605" s="128"/>
      <c r="AU605" s="129"/>
      <c r="AW605" s="130"/>
      <c r="AX605" s="85"/>
      <c r="AY605" s="84"/>
      <c r="AZ605" s="84"/>
      <c r="BA605" s="131"/>
      <c r="BB605" s="84"/>
      <c r="BE605" s="84"/>
      <c r="BI605" s="86"/>
      <c r="BO605" s="84"/>
      <c r="BT605" s="84"/>
      <c r="BY605" s="84"/>
      <c r="CD605" s="84"/>
      <c r="CI605" s="128"/>
      <c r="CJ605" s="129"/>
      <c r="CL605" s="132"/>
      <c r="CM605" s="128"/>
      <c r="CN605" s="129"/>
      <c r="CP605" s="132"/>
      <c r="CQ605" s="128"/>
      <c r="CR605" s="129"/>
      <c r="CT605" s="132"/>
      <c r="CU605" s="128"/>
      <c r="CV605" s="129"/>
      <c r="CX605" s="132"/>
      <c r="CY605" s="128"/>
      <c r="CZ605" s="129"/>
      <c r="DB605" s="132"/>
      <c r="DC605" s="128"/>
      <c r="DD605" s="129"/>
      <c r="DF605" s="132"/>
      <c r="DG605" s="85"/>
      <c r="DH605" s="85"/>
      <c r="DI605" s="84"/>
      <c r="DK605" s="84"/>
      <c r="DP605" s="84"/>
      <c r="DU605" s="84"/>
      <c r="DY605" s="84"/>
      <c r="EC605" s="84"/>
      <c r="EG605" s="84"/>
      <c r="EK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128"/>
      <c r="AA606" s="129"/>
      <c r="AC606" s="130"/>
      <c r="AD606" s="128"/>
      <c r="AE606" s="129"/>
      <c r="AG606" s="130"/>
      <c r="AH606" s="128"/>
      <c r="AI606" s="129"/>
      <c r="AK606" s="130"/>
      <c r="AL606" s="128"/>
      <c r="AM606" s="129"/>
      <c r="AO606" s="130"/>
      <c r="AP606" s="128"/>
      <c r="AQ606" s="129"/>
      <c r="AS606" s="130"/>
      <c r="AT606" s="128"/>
      <c r="AU606" s="129"/>
      <c r="AW606" s="130"/>
      <c r="AX606" s="85"/>
      <c r="AY606" s="84"/>
      <c r="AZ606" s="84"/>
      <c r="BA606" s="131"/>
      <c r="BB606" s="84"/>
      <c r="BE606" s="84"/>
      <c r="BI606" s="86"/>
      <c r="BO606" s="84"/>
      <c r="BT606" s="84"/>
      <c r="BY606" s="84"/>
      <c r="CD606" s="84"/>
      <c r="CI606" s="128"/>
      <c r="CJ606" s="129"/>
      <c r="CL606" s="132"/>
      <c r="CM606" s="128"/>
      <c r="CN606" s="129"/>
      <c r="CP606" s="132"/>
      <c r="CQ606" s="128"/>
      <c r="CR606" s="129"/>
      <c r="CT606" s="132"/>
      <c r="CU606" s="128"/>
      <c r="CV606" s="129"/>
      <c r="CX606" s="132"/>
      <c r="CY606" s="128"/>
      <c r="CZ606" s="129"/>
      <c r="DB606" s="132"/>
      <c r="DC606" s="128"/>
      <c r="DD606" s="129"/>
      <c r="DF606" s="132"/>
      <c r="DG606" s="85"/>
      <c r="DH606" s="85"/>
      <c r="DI606" s="84"/>
      <c r="DK606" s="84"/>
      <c r="DP606" s="84"/>
      <c r="DU606" s="84"/>
      <c r="DY606" s="84"/>
      <c r="EC606" s="84"/>
      <c r="EG606" s="84"/>
      <c r="EK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128"/>
      <c r="AA607" s="129"/>
      <c r="AC607" s="130"/>
      <c r="AD607" s="128"/>
      <c r="AE607" s="129"/>
      <c r="AG607" s="130"/>
      <c r="AH607" s="128"/>
      <c r="AI607" s="129"/>
      <c r="AK607" s="130"/>
      <c r="AL607" s="128"/>
      <c r="AM607" s="129"/>
      <c r="AO607" s="130"/>
      <c r="AP607" s="128"/>
      <c r="AQ607" s="129"/>
      <c r="AS607" s="130"/>
      <c r="AT607" s="128"/>
      <c r="AU607" s="129"/>
      <c r="AW607" s="130"/>
      <c r="AX607" s="85"/>
      <c r="AY607" s="84"/>
      <c r="AZ607" s="84"/>
      <c r="BA607" s="131"/>
      <c r="BB607" s="84"/>
      <c r="BE607" s="84"/>
      <c r="BI607" s="86"/>
      <c r="BO607" s="84"/>
      <c r="BT607" s="84"/>
      <c r="BY607" s="84"/>
      <c r="CD607" s="84"/>
      <c r="CI607" s="128"/>
      <c r="CJ607" s="129"/>
      <c r="CL607" s="132"/>
      <c r="CM607" s="128"/>
      <c r="CN607" s="129"/>
      <c r="CP607" s="132"/>
      <c r="CQ607" s="128"/>
      <c r="CR607" s="129"/>
      <c r="CT607" s="132"/>
      <c r="CU607" s="128"/>
      <c r="CV607" s="129"/>
      <c r="CX607" s="132"/>
      <c r="CY607" s="128"/>
      <c r="CZ607" s="129"/>
      <c r="DB607" s="132"/>
      <c r="DC607" s="128"/>
      <c r="DD607" s="129"/>
      <c r="DF607" s="132"/>
      <c r="DG607" s="85"/>
      <c r="DH607" s="85"/>
      <c r="DI607" s="84"/>
      <c r="DK607" s="84"/>
      <c r="DP607" s="84"/>
      <c r="DU607" s="84"/>
      <c r="DY607" s="84"/>
      <c r="EC607" s="84"/>
      <c r="EG607" s="84"/>
      <c r="EK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128"/>
      <c r="AA608" s="129"/>
      <c r="AC608" s="130"/>
      <c r="AD608" s="128"/>
      <c r="AE608" s="129"/>
      <c r="AG608" s="130"/>
      <c r="AH608" s="128"/>
      <c r="AI608" s="129"/>
      <c r="AK608" s="130"/>
      <c r="AL608" s="128"/>
      <c r="AM608" s="129"/>
      <c r="AO608" s="130"/>
      <c r="AP608" s="128"/>
      <c r="AQ608" s="129"/>
      <c r="AS608" s="130"/>
      <c r="AT608" s="128"/>
      <c r="AU608" s="129"/>
      <c r="AW608" s="130"/>
      <c r="AX608" s="85"/>
      <c r="AY608" s="84"/>
      <c r="AZ608" s="84"/>
      <c r="BA608" s="131"/>
      <c r="BB608" s="84"/>
      <c r="BE608" s="84"/>
      <c r="BI608" s="86"/>
      <c r="BO608" s="84"/>
      <c r="BT608" s="84"/>
      <c r="BY608" s="84"/>
      <c r="CD608" s="84"/>
      <c r="CI608" s="128"/>
      <c r="CJ608" s="129"/>
      <c r="CL608" s="132"/>
      <c r="CM608" s="128"/>
      <c r="CN608" s="129"/>
      <c r="CP608" s="132"/>
      <c r="CQ608" s="128"/>
      <c r="CR608" s="129"/>
      <c r="CT608" s="132"/>
      <c r="CU608" s="128"/>
      <c r="CV608" s="129"/>
      <c r="CX608" s="132"/>
      <c r="CY608" s="128"/>
      <c r="CZ608" s="129"/>
      <c r="DB608" s="132"/>
      <c r="DC608" s="128"/>
      <c r="DD608" s="129"/>
      <c r="DF608" s="132"/>
      <c r="DG608" s="85"/>
      <c r="DH608" s="85"/>
      <c r="DI608" s="84"/>
      <c r="DK608" s="84"/>
      <c r="DP608" s="84"/>
      <c r="DU608" s="84"/>
      <c r="DY608" s="84"/>
      <c r="EC608" s="84"/>
      <c r="EG608" s="84"/>
      <c r="EK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128"/>
      <c r="AA609" s="129"/>
      <c r="AC609" s="130"/>
      <c r="AD609" s="128"/>
      <c r="AE609" s="129"/>
      <c r="AG609" s="130"/>
      <c r="AH609" s="128"/>
      <c r="AI609" s="129"/>
      <c r="AK609" s="130"/>
      <c r="AL609" s="128"/>
      <c r="AM609" s="129"/>
      <c r="AO609" s="130"/>
      <c r="AP609" s="128"/>
      <c r="AQ609" s="129"/>
      <c r="AS609" s="130"/>
      <c r="AT609" s="128"/>
      <c r="AU609" s="129"/>
      <c r="AW609" s="130"/>
      <c r="AX609" s="85"/>
      <c r="AY609" s="84"/>
      <c r="AZ609" s="84"/>
      <c r="BA609" s="131"/>
      <c r="BB609" s="84"/>
      <c r="BE609" s="84"/>
      <c r="BI609" s="86"/>
      <c r="BO609" s="84"/>
      <c r="BT609" s="84"/>
      <c r="BY609" s="84"/>
      <c r="CD609" s="84"/>
      <c r="CI609" s="128"/>
      <c r="CJ609" s="129"/>
      <c r="CL609" s="132"/>
      <c r="CM609" s="128"/>
      <c r="CN609" s="129"/>
      <c r="CP609" s="132"/>
      <c r="CQ609" s="128"/>
      <c r="CR609" s="129"/>
      <c r="CT609" s="132"/>
      <c r="CU609" s="128"/>
      <c r="CV609" s="129"/>
      <c r="CX609" s="132"/>
      <c r="CY609" s="128"/>
      <c r="CZ609" s="129"/>
      <c r="DB609" s="132"/>
      <c r="DC609" s="128"/>
      <c r="DD609" s="129"/>
      <c r="DF609" s="132"/>
      <c r="DG609" s="85"/>
      <c r="DH609" s="85"/>
      <c r="DI609" s="84"/>
      <c r="DK609" s="84"/>
      <c r="DP609" s="84"/>
      <c r="DU609" s="84"/>
      <c r="DY609" s="84"/>
      <c r="EC609" s="84"/>
      <c r="EG609" s="84"/>
      <c r="EK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128"/>
      <c r="AA610" s="129"/>
      <c r="AC610" s="130"/>
      <c r="AD610" s="128"/>
      <c r="AE610" s="129"/>
      <c r="AG610" s="130"/>
      <c r="AH610" s="128"/>
      <c r="AI610" s="129"/>
      <c r="AK610" s="130"/>
      <c r="AL610" s="128"/>
      <c r="AM610" s="129"/>
      <c r="AO610" s="130"/>
      <c r="AP610" s="128"/>
      <c r="AQ610" s="129"/>
      <c r="AS610" s="130"/>
      <c r="AT610" s="128"/>
      <c r="AU610" s="129"/>
      <c r="AW610" s="130"/>
      <c r="AX610" s="85"/>
      <c r="AY610" s="84"/>
      <c r="AZ610" s="84"/>
      <c r="BA610" s="131"/>
      <c r="BB610" s="84"/>
      <c r="BE610" s="84"/>
      <c r="BI610" s="86"/>
      <c r="BO610" s="84"/>
      <c r="BT610" s="84"/>
      <c r="BY610" s="84"/>
      <c r="CD610" s="84"/>
      <c r="CI610" s="128"/>
      <c r="CJ610" s="129"/>
      <c r="CL610" s="132"/>
      <c r="CM610" s="128"/>
      <c r="CN610" s="129"/>
      <c r="CP610" s="132"/>
      <c r="CQ610" s="128"/>
      <c r="CR610" s="129"/>
      <c r="CT610" s="132"/>
      <c r="CU610" s="128"/>
      <c r="CV610" s="129"/>
      <c r="CX610" s="132"/>
      <c r="CY610" s="128"/>
      <c r="CZ610" s="129"/>
      <c r="DB610" s="132"/>
      <c r="DC610" s="128"/>
      <c r="DD610" s="129"/>
      <c r="DF610" s="132"/>
      <c r="DG610" s="85"/>
      <c r="DH610" s="85"/>
      <c r="DI610" s="84"/>
      <c r="DK610" s="84"/>
      <c r="DP610" s="84"/>
      <c r="DU610" s="84"/>
      <c r="DY610" s="84"/>
      <c r="EC610" s="84"/>
      <c r="EG610" s="84"/>
      <c r="EK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128"/>
      <c r="AA611" s="129"/>
      <c r="AC611" s="130"/>
      <c r="AD611" s="128"/>
      <c r="AE611" s="129"/>
      <c r="AG611" s="130"/>
      <c r="AH611" s="128"/>
      <c r="AI611" s="129"/>
      <c r="AK611" s="130"/>
      <c r="AL611" s="128"/>
      <c r="AM611" s="129"/>
      <c r="AO611" s="130"/>
      <c r="AP611" s="128"/>
      <c r="AQ611" s="129"/>
      <c r="AS611" s="130"/>
      <c r="AT611" s="128"/>
      <c r="AU611" s="129"/>
      <c r="AW611" s="130"/>
      <c r="AX611" s="85"/>
      <c r="AY611" s="84"/>
      <c r="AZ611" s="84"/>
      <c r="BA611" s="131"/>
      <c r="BB611" s="84"/>
      <c r="BE611" s="84"/>
      <c r="BI611" s="86"/>
      <c r="BO611" s="84"/>
      <c r="BT611" s="84"/>
      <c r="BY611" s="84"/>
      <c r="CD611" s="84"/>
      <c r="CI611" s="128"/>
      <c r="CJ611" s="129"/>
      <c r="CL611" s="132"/>
      <c r="CM611" s="128"/>
      <c r="CN611" s="129"/>
      <c r="CP611" s="132"/>
      <c r="CQ611" s="128"/>
      <c r="CR611" s="129"/>
      <c r="CT611" s="132"/>
      <c r="CU611" s="128"/>
      <c r="CV611" s="129"/>
      <c r="CX611" s="132"/>
      <c r="CY611" s="128"/>
      <c r="CZ611" s="129"/>
      <c r="DB611" s="132"/>
      <c r="DC611" s="128"/>
      <c r="DD611" s="129"/>
      <c r="DF611" s="132"/>
      <c r="DG611" s="85"/>
      <c r="DH611" s="85"/>
      <c r="DI611" s="84"/>
      <c r="DK611" s="84"/>
      <c r="DP611" s="84"/>
      <c r="DU611" s="84"/>
      <c r="DY611" s="84"/>
      <c r="EC611" s="84"/>
      <c r="EG611" s="84"/>
      <c r="EK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128"/>
      <c r="AA612" s="129"/>
      <c r="AC612" s="130"/>
      <c r="AD612" s="128"/>
      <c r="AE612" s="129"/>
      <c r="AG612" s="130"/>
      <c r="AH612" s="128"/>
      <c r="AI612" s="129"/>
      <c r="AK612" s="130"/>
      <c r="AL612" s="128"/>
      <c r="AM612" s="129"/>
      <c r="AO612" s="130"/>
      <c r="AP612" s="128"/>
      <c r="AQ612" s="129"/>
      <c r="AS612" s="130"/>
      <c r="AT612" s="128"/>
      <c r="AU612" s="129"/>
      <c r="AW612" s="130"/>
      <c r="AX612" s="85"/>
      <c r="AY612" s="84"/>
      <c r="AZ612" s="84"/>
      <c r="BA612" s="131"/>
      <c r="BB612" s="84"/>
      <c r="BE612" s="84"/>
      <c r="BI612" s="86"/>
      <c r="BO612" s="84"/>
      <c r="BT612" s="84"/>
      <c r="BY612" s="84"/>
      <c r="CD612" s="84"/>
      <c r="CI612" s="128"/>
      <c r="CJ612" s="129"/>
      <c r="CL612" s="132"/>
      <c r="CM612" s="128"/>
      <c r="CN612" s="129"/>
      <c r="CP612" s="132"/>
      <c r="CQ612" s="128"/>
      <c r="CR612" s="129"/>
      <c r="CT612" s="132"/>
      <c r="CU612" s="128"/>
      <c r="CV612" s="129"/>
      <c r="CX612" s="132"/>
      <c r="CY612" s="128"/>
      <c r="CZ612" s="129"/>
      <c r="DB612" s="132"/>
      <c r="DC612" s="128"/>
      <c r="DD612" s="129"/>
      <c r="DF612" s="132"/>
      <c r="DG612" s="85"/>
      <c r="DH612" s="85"/>
      <c r="DI612" s="84"/>
      <c r="DK612" s="84"/>
      <c r="DP612" s="84"/>
      <c r="DU612" s="84"/>
      <c r="DY612" s="84"/>
      <c r="EC612" s="84"/>
      <c r="EG612" s="84"/>
      <c r="EK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128"/>
      <c r="AA613" s="129"/>
      <c r="AC613" s="130"/>
      <c r="AD613" s="128"/>
      <c r="AE613" s="129"/>
      <c r="AG613" s="130"/>
      <c r="AH613" s="128"/>
      <c r="AI613" s="129"/>
      <c r="AK613" s="130"/>
      <c r="AL613" s="128"/>
      <c r="AM613" s="129"/>
      <c r="AO613" s="130"/>
      <c r="AP613" s="128"/>
      <c r="AQ613" s="129"/>
      <c r="AS613" s="130"/>
      <c r="AT613" s="128"/>
      <c r="AU613" s="129"/>
      <c r="AW613" s="130"/>
      <c r="AX613" s="85"/>
      <c r="AY613" s="84"/>
      <c r="AZ613" s="84"/>
      <c r="BA613" s="131"/>
      <c r="BB613" s="84"/>
      <c r="BE613" s="84"/>
      <c r="BI613" s="86"/>
      <c r="BO613" s="84"/>
      <c r="BT613" s="84"/>
      <c r="BY613" s="84"/>
      <c r="CD613" s="84"/>
      <c r="CI613" s="128"/>
      <c r="CJ613" s="129"/>
      <c r="CL613" s="132"/>
      <c r="CM613" s="128"/>
      <c r="CN613" s="129"/>
      <c r="CP613" s="132"/>
      <c r="CQ613" s="128"/>
      <c r="CR613" s="129"/>
      <c r="CT613" s="132"/>
      <c r="CU613" s="128"/>
      <c r="CV613" s="129"/>
      <c r="CX613" s="132"/>
      <c r="CY613" s="128"/>
      <c r="CZ613" s="129"/>
      <c r="DB613" s="132"/>
      <c r="DC613" s="128"/>
      <c r="DD613" s="129"/>
      <c r="DF613" s="132"/>
      <c r="DG613" s="85"/>
      <c r="DH613" s="85"/>
      <c r="DI613" s="84"/>
      <c r="DK613" s="84"/>
      <c r="DP613" s="84"/>
      <c r="DU613" s="84"/>
      <c r="DY613" s="84"/>
      <c r="EC613" s="84"/>
      <c r="EG613" s="84"/>
      <c r="EK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128"/>
      <c r="AA614" s="129"/>
      <c r="AC614" s="130"/>
      <c r="AD614" s="128"/>
      <c r="AE614" s="129"/>
      <c r="AG614" s="130"/>
      <c r="AH614" s="128"/>
      <c r="AI614" s="129"/>
      <c r="AK614" s="130"/>
      <c r="AL614" s="128"/>
      <c r="AM614" s="129"/>
      <c r="AO614" s="130"/>
      <c r="AP614" s="128"/>
      <c r="AQ614" s="129"/>
      <c r="AS614" s="130"/>
      <c r="AT614" s="128"/>
      <c r="AU614" s="129"/>
      <c r="AW614" s="130"/>
      <c r="AX614" s="85"/>
      <c r="AY614" s="84"/>
      <c r="AZ614" s="84"/>
      <c r="BA614" s="131"/>
      <c r="BB614" s="84"/>
      <c r="BE614" s="84"/>
      <c r="BI614" s="86"/>
      <c r="BO614" s="84"/>
      <c r="BT614" s="84"/>
      <c r="BY614" s="84"/>
      <c r="CD614" s="84"/>
      <c r="CI614" s="128"/>
      <c r="CJ614" s="129"/>
      <c r="CL614" s="132"/>
      <c r="CM614" s="128"/>
      <c r="CN614" s="129"/>
      <c r="CP614" s="132"/>
      <c r="CQ614" s="128"/>
      <c r="CR614" s="129"/>
      <c r="CT614" s="132"/>
      <c r="CU614" s="128"/>
      <c r="CV614" s="129"/>
      <c r="CX614" s="132"/>
      <c r="CY614" s="128"/>
      <c r="CZ614" s="129"/>
      <c r="DB614" s="132"/>
      <c r="DC614" s="128"/>
      <c r="DD614" s="129"/>
      <c r="DF614" s="132"/>
      <c r="DG614" s="85"/>
      <c r="DH614" s="85"/>
      <c r="DI614" s="84"/>
      <c r="DK614" s="84"/>
      <c r="DP614" s="84"/>
      <c r="DU614" s="84"/>
      <c r="DY614" s="84"/>
      <c r="EC614" s="84"/>
      <c r="EG614" s="84"/>
      <c r="EK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128"/>
      <c r="AA615" s="129"/>
      <c r="AC615" s="130"/>
      <c r="AD615" s="128"/>
      <c r="AE615" s="129"/>
      <c r="AG615" s="130"/>
      <c r="AH615" s="128"/>
      <c r="AI615" s="129"/>
      <c r="AK615" s="130"/>
      <c r="AL615" s="128"/>
      <c r="AM615" s="129"/>
      <c r="AO615" s="130"/>
      <c r="AP615" s="128"/>
      <c r="AQ615" s="129"/>
      <c r="AS615" s="130"/>
      <c r="AT615" s="128"/>
      <c r="AU615" s="129"/>
      <c r="AW615" s="130"/>
      <c r="AX615" s="85"/>
      <c r="AY615" s="84"/>
      <c r="AZ615" s="84"/>
      <c r="BA615" s="131"/>
      <c r="BB615" s="84"/>
      <c r="BE615" s="84"/>
      <c r="BI615" s="86"/>
      <c r="BO615" s="84"/>
      <c r="BT615" s="84"/>
      <c r="BY615" s="84"/>
      <c r="CD615" s="84"/>
      <c r="CI615" s="128"/>
      <c r="CJ615" s="129"/>
      <c r="CL615" s="132"/>
      <c r="CM615" s="128"/>
      <c r="CN615" s="129"/>
      <c r="CP615" s="132"/>
      <c r="CQ615" s="128"/>
      <c r="CR615" s="129"/>
      <c r="CT615" s="132"/>
      <c r="CU615" s="128"/>
      <c r="CV615" s="129"/>
      <c r="CX615" s="132"/>
      <c r="CY615" s="128"/>
      <c r="CZ615" s="129"/>
      <c r="DB615" s="132"/>
      <c r="DC615" s="128"/>
      <c r="DD615" s="129"/>
      <c r="DF615" s="132"/>
      <c r="DG615" s="85"/>
      <c r="DH615" s="85"/>
      <c r="DI615" s="84"/>
      <c r="DK615" s="84"/>
      <c r="DP615" s="84"/>
      <c r="DU615" s="84"/>
      <c r="DY615" s="84"/>
      <c r="EC615" s="84"/>
      <c r="EG615" s="84"/>
      <c r="EK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128"/>
      <c r="AA616" s="129"/>
      <c r="AC616" s="130"/>
      <c r="AD616" s="128"/>
      <c r="AE616" s="129"/>
      <c r="AG616" s="130"/>
      <c r="AH616" s="128"/>
      <c r="AI616" s="129"/>
      <c r="AK616" s="130"/>
      <c r="AL616" s="128"/>
      <c r="AM616" s="129"/>
      <c r="AO616" s="130"/>
      <c r="AP616" s="128"/>
      <c r="AQ616" s="129"/>
      <c r="AS616" s="130"/>
      <c r="AT616" s="128"/>
      <c r="AU616" s="129"/>
      <c r="AW616" s="130"/>
      <c r="AX616" s="85"/>
      <c r="AY616" s="84"/>
      <c r="AZ616" s="84"/>
      <c r="BA616" s="131"/>
      <c r="BB616" s="84"/>
      <c r="BE616" s="84"/>
      <c r="BI616" s="86"/>
      <c r="BO616" s="84"/>
      <c r="BT616" s="84"/>
      <c r="BY616" s="84"/>
      <c r="CD616" s="84"/>
      <c r="CI616" s="128"/>
      <c r="CJ616" s="129"/>
      <c r="CL616" s="132"/>
      <c r="CM616" s="128"/>
      <c r="CN616" s="129"/>
      <c r="CP616" s="132"/>
      <c r="CQ616" s="128"/>
      <c r="CR616" s="129"/>
      <c r="CT616" s="132"/>
      <c r="CU616" s="128"/>
      <c r="CV616" s="129"/>
      <c r="CX616" s="132"/>
      <c r="CY616" s="128"/>
      <c r="CZ616" s="129"/>
      <c r="DB616" s="132"/>
      <c r="DC616" s="128"/>
      <c r="DD616" s="129"/>
      <c r="DF616" s="132"/>
      <c r="DG616" s="85"/>
      <c r="DH616" s="85"/>
      <c r="DI616" s="84"/>
      <c r="DK616" s="84"/>
      <c r="DP616" s="84"/>
      <c r="DU616" s="84"/>
      <c r="DY616" s="84"/>
      <c r="EC616" s="84"/>
      <c r="EG616" s="84"/>
      <c r="EK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128"/>
      <c r="AA617" s="129"/>
      <c r="AC617" s="130"/>
      <c r="AD617" s="128"/>
      <c r="AE617" s="129"/>
      <c r="AG617" s="130"/>
      <c r="AH617" s="128"/>
      <c r="AI617" s="129"/>
      <c r="AK617" s="130"/>
      <c r="AL617" s="128"/>
      <c r="AM617" s="129"/>
      <c r="AO617" s="130"/>
      <c r="AP617" s="128"/>
      <c r="AQ617" s="129"/>
      <c r="AS617" s="130"/>
      <c r="AT617" s="128"/>
      <c r="AU617" s="129"/>
      <c r="AW617" s="130"/>
      <c r="AX617" s="85"/>
      <c r="AY617" s="84"/>
      <c r="AZ617" s="84"/>
      <c r="BA617" s="131"/>
      <c r="BB617" s="84"/>
      <c r="BE617" s="84"/>
      <c r="BI617" s="86"/>
      <c r="BO617" s="84"/>
      <c r="BT617" s="84"/>
      <c r="BY617" s="84"/>
      <c r="CD617" s="84"/>
      <c r="CI617" s="128"/>
      <c r="CJ617" s="129"/>
      <c r="CL617" s="132"/>
      <c r="CM617" s="128"/>
      <c r="CN617" s="129"/>
      <c r="CP617" s="132"/>
      <c r="CQ617" s="128"/>
      <c r="CR617" s="129"/>
      <c r="CT617" s="132"/>
      <c r="CU617" s="128"/>
      <c r="CV617" s="129"/>
      <c r="CX617" s="132"/>
      <c r="CY617" s="128"/>
      <c r="CZ617" s="129"/>
      <c r="DB617" s="132"/>
      <c r="DC617" s="128"/>
      <c r="DD617" s="129"/>
      <c r="DF617" s="132"/>
      <c r="DG617" s="85"/>
      <c r="DH617" s="85"/>
      <c r="DI617" s="84"/>
      <c r="DK617" s="84"/>
      <c r="DP617" s="84"/>
      <c r="DU617" s="84"/>
      <c r="DY617" s="84"/>
      <c r="EC617" s="84"/>
      <c r="EG617" s="84"/>
      <c r="EK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128"/>
      <c r="AA618" s="129"/>
      <c r="AC618" s="130"/>
      <c r="AD618" s="128"/>
      <c r="AE618" s="129"/>
      <c r="AG618" s="130"/>
      <c r="AH618" s="128"/>
      <c r="AI618" s="129"/>
      <c r="AK618" s="130"/>
      <c r="AL618" s="128"/>
      <c r="AM618" s="129"/>
      <c r="AO618" s="130"/>
      <c r="AP618" s="128"/>
      <c r="AQ618" s="129"/>
      <c r="AS618" s="130"/>
      <c r="AT618" s="128"/>
      <c r="AU618" s="129"/>
      <c r="AW618" s="130"/>
      <c r="AX618" s="85"/>
      <c r="AY618" s="84"/>
      <c r="AZ618" s="84"/>
      <c r="BA618" s="131"/>
      <c r="BB618" s="84"/>
      <c r="BE618" s="84"/>
      <c r="BI618" s="86"/>
      <c r="BO618" s="84"/>
      <c r="BT618" s="84"/>
      <c r="BY618" s="84"/>
      <c r="CD618" s="84"/>
      <c r="CI618" s="128"/>
      <c r="CJ618" s="129"/>
      <c r="CL618" s="132"/>
      <c r="CM618" s="128"/>
      <c r="CN618" s="129"/>
      <c r="CP618" s="132"/>
      <c r="CQ618" s="128"/>
      <c r="CR618" s="129"/>
      <c r="CT618" s="132"/>
      <c r="CU618" s="128"/>
      <c r="CV618" s="129"/>
      <c r="CX618" s="132"/>
      <c r="CY618" s="128"/>
      <c r="CZ618" s="129"/>
      <c r="DB618" s="132"/>
      <c r="DC618" s="128"/>
      <c r="DD618" s="129"/>
      <c r="DF618" s="132"/>
      <c r="DG618" s="85"/>
      <c r="DH618" s="85"/>
      <c r="DI618" s="84"/>
      <c r="DK618" s="84"/>
      <c r="DP618" s="84"/>
      <c r="DU618" s="84"/>
      <c r="DY618" s="84"/>
      <c r="EC618" s="84"/>
      <c r="EG618" s="84"/>
      <c r="EK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128"/>
      <c r="AA619" s="129"/>
      <c r="AC619" s="130"/>
      <c r="AD619" s="128"/>
      <c r="AE619" s="129"/>
      <c r="AG619" s="130"/>
      <c r="AH619" s="128"/>
      <c r="AI619" s="129"/>
      <c r="AK619" s="130"/>
      <c r="AL619" s="128"/>
      <c r="AM619" s="129"/>
      <c r="AO619" s="130"/>
      <c r="AP619" s="128"/>
      <c r="AQ619" s="129"/>
      <c r="AS619" s="130"/>
      <c r="AT619" s="128"/>
      <c r="AU619" s="129"/>
      <c r="AW619" s="130"/>
      <c r="AX619" s="85"/>
      <c r="AY619" s="84"/>
      <c r="AZ619" s="84"/>
      <c r="BA619" s="131"/>
      <c r="BB619" s="84"/>
      <c r="BE619" s="84"/>
      <c r="BI619" s="86"/>
      <c r="BO619" s="84"/>
      <c r="BT619" s="84"/>
      <c r="BY619" s="84"/>
      <c r="CD619" s="84"/>
      <c r="CI619" s="128"/>
      <c r="CJ619" s="129"/>
      <c r="CL619" s="132"/>
      <c r="CM619" s="128"/>
      <c r="CN619" s="129"/>
      <c r="CP619" s="132"/>
      <c r="CQ619" s="128"/>
      <c r="CR619" s="129"/>
      <c r="CT619" s="132"/>
      <c r="CU619" s="128"/>
      <c r="CV619" s="129"/>
      <c r="CX619" s="132"/>
      <c r="CY619" s="128"/>
      <c r="CZ619" s="129"/>
      <c r="DB619" s="132"/>
      <c r="DC619" s="128"/>
      <c r="DD619" s="129"/>
      <c r="DF619" s="132"/>
      <c r="DG619" s="85"/>
      <c r="DH619" s="85"/>
      <c r="DI619" s="84"/>
      <c r="DK619" s="84"/>
      <c r="DP619" s="84"/>
      <c r="DU619" s="84"/>
      <c r="DY619" s="84"/>
      <c r="EC619" s="84"/>
      <c r="EG619" s="84"/>
      <c r="EK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128"/>
      <c r="AA620" s="129"/>
      <c r="AC620" s="130"/>
      <c r="AD620" s="128"/>
      <c r="AE620" s="129"/>
      <c r="AG620" s="130"/>
      <c r="AH620" s="128"/>
      <c r="AI620" s="129"/>
      <c r="AK620" s="130"/>
      <c r="AL620" s="128"/>
      <c r="AM620" s="129"/>
      <c r="AO620" s="130"/>
      <c r="AP620" s="128"/>
      <c r="AQ620" s="129"/>
      <c r="AS620" s="130"/>
      <c r="AT620" s="128"/>
      <c r="AU620" s="129"/>
      <c r="AW620" s="130"/>
      <c r="AX620" s="85"/>
      <c r="AY620" s="84"/>
      <c r="AZ620" s="84"/>
      <c r="BA620" s="131"/>
      <c r="BB620" s="84"/>
      <c r="BE620" s="84"/>
      <c r="BI620" s="86"/>
      <c r="BO620" s="84"/>
      <c r="BT620" s="84"/>
      <c r="BY620" s="84"/>
      <c r="CD620" s="84"/>
      <c r="CI620" s="128"/>
      <c r="CJ620" s="129"/>
      <c r="CL620" s="132"/>
      <c r="CM620" s="128"/>
      <c r="CN620" s="129"/>
      <c r="CP620" s="132"/>
      <c r="CQ620" s="128"/>
      <c r="CR620" s="129"/>
      <c r="CT620" s="132"/>
      <c r="CU620" s="128"/>
      <c r="CV620" s="129"/>
      <c r="CX620" s="132"/>
      <c r="CY620" s="128"/>
      <c r="CZ620" s="129"/>
      <c r="DB620" s="132"/>
      <c r="DC620" s="128"/>
      <c r="DD620" s="129"/>
      <c r="DF620" s="132"/>
      <c r="DG620" s="85"/>
      <c r="DH620" s="85"/>
      <c r="DI620" s="84"/>
      <c r="DK620" s="84"/>
      <c r="DP620" s="84"/>
      <c r="DU620" s="84"/>
      <c r="DY620" s="84"/>
      <c r="EC620" s="84"/>
      <c r="EG620" s="84"/>
      <c r="EK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128"/>
      <c r="AA621" s="129"/>
      <c r="AC621" s="130"/>
      <c r="AD621" s="128"/>
      <c r="AE621" s="129"/>
      <c r="AG621" s="130"/>
      <c r="AH621" s="128"/>
      <c r="AI621" s="129"/>
      <c r="AK621" s="130"/>
      <c r="AL621" s="128"/>
      <c r="AM621" s="129"/>
      <c r="AO621" s="130"/>
      <c r="AP621" s="128"/>
      <c r="AQ621" s="129"/>
      <c r="AS621" s="130"/>
      <c r="AT621" s="128"/>
      <c r="AU621" s="129"/>
      <c r="AW621" s="130"/>
      <c r="AX621" s="85"/>
      <c r="AY621" s="84"/>
      <c r="AZ621" s="84"/>
      <c r="BA621" s="131"/>
      <c r="BB621" s="84"/>
      <c r="BE621" s="84"/>
      <c r="BI621" s="86"/>
      <c r="BO621" s="84"/>
      <c r="BT621" s="84"/>
      <c r="BY621" s="84"/>
      <c r="CD621" s="84"/>
      <c r="CI621" s="128"/>
      <c r="CJ621" s="129"/>
      <c r="CL621" s="132"/>
      <c r="CM621" s="128"/>
      <c r="CN621" s="129"/>
      <c r="CP621" s="132"/>
      <c r="CQ621" s="128"/>
      <c r="CR621" s="129"/>
      <c r="CT621" s="132"/>
      <c r="CU621" s="128"/>
      <c r="CV621" s="129"/>
      <c r="CX621" s="132"/>
      <c r="CY621" s="128"/>
      <c r="CZ621" s="129"/>
      <c r="DB621" s="132"/>
      <c r="DC621" s="128"/>
      <c r="DD621" s="129"/>
      <c r="DF621" s="132"/>
      <c r="DG621" s="85"/>
      <c r="DH621" s="85"/>
      <c r="DI621" s="84"/>
      <c r="DK621" s="84"/>
      <c r="DP621" s="84"/>
      <c r="DU621" s="84"/>
      <c r="DY621" s="84"/>
      <c r="EC621" s="84"/>
      <c r="EG621" s="84"/>
      <c r="EK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128"/>
      <c r="AA622" s="129"/>
      <c r="AC622" s="130"/>
      <c r="AD622" s="128"/>
      <c r="AE622" s="129"/>
      <c r="AG622" s="130"/>
      <c r="AH622" s="128"/>
      <c r="AI622" s="129"/>
      <c r="AK622" s="130"/>
      <c r="AL622" s="128"/>
      <c r="AM622" s="129"/>
      <c r="AO622" s="130"/>
      <c r="AP622" s="128"/>
      <c r="AQ622" s="129"/>
      <c r="AS622" s="130"/>
      <c r="AT622" s="128"/>
      <c r="AU622" s="129"/>
      <c r="AW622" s="130"/>
      <c r="AX622" s="85"/>
      <c r="AY622" s="84"/>
      <c r="AZ622" s="84"/>
      <c r="BA622" s="131"/>
      <c r="BB622" s="84"/>
      <c r="BE622" s="84"/>
      <c r="BI622" s="86"/>
      <c r="BO622" s="84"/>
      <c r="BT622" s="84"/>
      <c r="BY622" s="84"/>
      <c r="CD622" s="84"/>
      <c r="CI622" s="128"/>
      <c r="CJ622" s="129"/>
      <c r="CL622" s="132"/>
      <c r="CM622" s="128"/>
      <c r="CN622" s="129"/>
      <c r="CP622" s="132"/>
      <c r="CQ622" s="128"/>
      <c r="CR622" s="129"/>
      <c r="CT622" s="132"/>
      <c r="CU622" s="128"/>
      <c r="CV622" s="129"/>
      <c r="CX622" s="132"/>
      <c r="CY622" s="128"/>
      <c r="CZ622" s="129"/>
      <c r="DB622" s="132"/>
      <c r="DC622" s="128"/>
      <c r="DD622" s="129"/>
      <c r="DF622" s="132"/>
      <c r="DG622" s="85"/>
      <c r="DH622" s="85"/>
      <c r="DI622" s="84"/>
      <c r="DK622" s="84"/>
      <c r="DP622" s="84"/>
      <c r="DU622" s="84"/>
      <c r="DY622" s="84"/>
      <c r="EC622" s="84"/>
      <c r="EG622" s="84"/>
      <c r="EK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128"/>
      <c r="AA623" s="129"/>
      <c r="AC623" s="130"/>
      <c r="AD623" s="128"/>
      <c r="AE623" s="129"/>
      <c r="AG623" s="130"/>
      <c r="AH623" s="128"/>
      <c r="AI623" s="129"/>
      <c r="AK623" s="130"/>
      <c r="AL623" s="128"/>
      <c r="AM623" s="129"/>
      <c r="AO623" s="130"/>
      <c r="AP623" s="128"/>
      <c r="AQ623" s="129"/>
      <c r="AS623" s="130"/>
      <c r="AT623" s="128"/>
      <c r="AU623" s="129"/>
      <c r="AW623" s="130"/>
      <c r="AX623" s="85"/>
      <c r="AY623" s="84"/>
      <c r="AZ623" s="84"/>
      <c r="BA623" s="131"/>
      <c r="BB623" s="84"/>
      <c r="BE623" s="84"/>
      <c r="BI623" s="86"/>
      <c r="BO623" s="84"/>
      <c r="BT623" s="84"/>
      <c r="BY623" s="84"/>
      <c r="CD623" s="84"/>
      <c r="CI623" s="128"/>
      <c r="CJ623" s="129"/>
      <c r="CL623" s="132"/>
      <c r="CM623" s="128"/>
      <c r="CN623" s="129"/>
      <c r="CP623" s="132"/>
      <c r="CQ623" s="128"/>
      <c r="CR623" s="129"/>
      <c r="CT623" s="132"/>
      <c r="CU623" s="128"/>
      <c r="CV623" s="129"/>
      <c r="CX623" s="132"/>
      <c r="CY623" s="128"/>
      <c r="CZ623" s="129"/>
      <c r="DB623" s="132"/>
      <c r="DC623" s="128"/>
      <c r="DD623" s="129"/>
      <c r="DF623" s="132"/>
      <c r="DG623" s="85"/>
      <c r="DH623" s="85"/>
      <c r="DI623" s="84"/>
      <c r="DK623" s="84"/>
      <c r="DP623" s="84"/>
      <c r="DU623" s="84"/>
      <c r="DY623" s="84"/>
      <c r="EC623" s="84"/>
      <c r="EG623" s="84"/>
      <c r="EK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128"/>
      <c r="AA624" s="129"/>
      <c r="AC624" s="130"/>
      <c r="AD624" s="128"/>
      <c r="AE624" s="129"/>
      <c r="AG624" s="130"/>
      <c r="AH624" s="128"/>
      <c r="AI624" s="129"/>
      <c r="AK624" s="130"/>
      <c r="AL624" s="128"/>
      <c r="AM624" s="129"/>
      <c r="AO624" s="130"/>
      <c r="AP624" s="128"/>
      <c r="AQ624" s="129"/>
      <c r="AS624" s="130"/>
      <c r="AT624" s="128"/>
      <c r="AU624" s="129"/>
      <c r="AW624" s="130"/>
      <c r="AX624" s="85"/>
      <c r="AY624" s="84"/>
      <c r="AZ624" s="84"/>
      <c r="BA624" s="131"/>
      <c r="BB624" s="84"/>
      <c r="BE624" s="84"/>
      <c r="BI624" s="86"/>
      <c r="BO624" s="84"/>
      <c r="BT624" s="84"/>
      <c r="BY624" s="84"/>
      <c r="CD624" s="84"/>
      <c r="CI624" s="128"/>
      <c r="CJ624" s="129"/>
      <c r="CL624" s="132"/>
      <c r="CM624" s="128"/>
      <c r="CN624" s="129"/>
      <c r="CP624" s="132"/>
      <c r="CQ624" s="128"/>
      <c r="CR624" s="129"/>
      <c r="CT624" s="132"/>
      <c r="CU624" s="128"/>
      <c r="CV624" s="129"/>
      <c r="CX624" s="132"/>
      <c r="CY624" s="128"/>
      <c r="CZ624" s="129"/>
      <c r="DB624" s="132"/>
      <c r="DC624" s="128"/>
      <c r="DD624" s="129"/>
      <c r="DF624" s="132"/>
      <c r="DG624" s="85"/>
      <c r="DH624" s="85"/>
      <c r="DI624" s="84"/>
      <c r="DK624" s="84"/>
      <c r="DP624" s="84"/>
      <c r="DU624" s="84"/>
      <c r="DY624" s="84"/>
      <c r="EC624" s="84"/>
      <c r="EG624" s="84"/>
      <c r="EK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128"/>
      <c r="AA625" s="129"/>
      <c r="AC625" s="130"/>
      <c r="AD625" s="128"/>
      <c r="AE625" s="129"/>
      <c r="AG625" s="130"/>
      <c r="AH625" s="128"/>
      <c r="AI625" s="129"/>
      <c r="AK625" s="130"/>
      <c r="AL625" s="128"/>
      <c r="AM625" s="129"/>
      <c r="AO625" s="130"/>
      <c r="AP625" s="128"/>
      <c r="AQ625" s="129"/>
      <c r="AS625" s="130"/>
      <c r="AT625" s="128"/>
      <c r="AU625" s="129"/>
      <c r="AW625" s="130"/>
      <c r="AX625" s="85"/>
      <c r="AY625" s="84"/>
      <c r="AZ625" s="84"/>
      <c r="BA625" s="131"/>
      <c r="BB625" s="84"/>
      <c r="BE625" s="84"/>
      <c r="BI625" s="86"/>
      <c r="BO625" s="84"/>
      <c r="BT625" s="84"/>
      <c r="BY625" s="84"/>
      <c r="CD625" s="84"/>
      <c r="CI625" s="128"/>
      <c r="CJ625" s="129"/>
      <c r="CL625" s="132"/>
      <c r="CM625" s="128"/>
      <c r="CN625" s="129"/>
      <c r="CP625" s="132"/>
      <c r="CQ625" s="128"/>
      <c r="CR625" s="129"/>
      <c r="CT625" s="132"/>
      <c r="CU625" s="128"/>
      <c r="CV625" s="129"/>
      <c r="CX625" s="132"/>
      <c r="CY625" s="128"/>
      <c r="CZ625" s="129"/>
      <c r="DB625" s="132"/>
      <c r="DC625" s="128"/>
      <c r="DD625" s="129"/>
      <c r="DF625" s="132"/>
      <c r="DG625" s="85"/>
      <c r="DH625" s="85"/>
      <c r="DI625" s="84"/>
      <c r="DK625" s="84"/>
      <c r="DP625" s="84"/>
      <c r="DU625" s="84"/>
      <c r="DY625" s="84"/>
      <c r="EC625" s="84"/>
      <c r="EG625" s="84"/>
      <c r="EK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128"/>
      <c r="AA626" s="129"/>
      <c r="AC626" s="130"/>
      <c r="AD626" s="128"/>
      <c r="AE626" s="129"/>
      <c r="AG626" s="130"/>
      <c r="AH626" s="128"/>
      <c r="AI626" s="129"/>
      <c r="AK626" s="130"/>
      <c r="AL626" s="128"/>
      <c r="AM626" s="129"/>
      <c r="AO626" s="130"/>
      <c r="AP626" s="128"/>
      <c r="AQ626" s="129"/>
      <c r="AS626" s="130"/>
      <c r="AT626" s="128"/>
      <c r="AU626" s="129"/>
      <c r="AW626" s="130"/>
      <c r="AX626" s="85"/>
      <c r="AY626" s="84"/>
      <c r="AZ626" s="84"/>
      <c r="BA626" s="131"/>
      <c r="BB626" s="84"/>
      <c r="BE626" s="84"/>
      <c r="BI626" s="86"/>
      <c r="BO626" s="84"/>
      <c r="BT626" s="84"/>
      <c r="BY626" s="84"/>
      <c r="CD626" s="84"/>
      <c r="CI626" s="128"/>
      <c r="CJ626" s="129"/>
      <c r="CL626" s="132"/>
      <c r="CM626" s="128"/>
      <c r="CN626" s="129"/>
      <c r="CP626" s="132"/>
      <c r="CQ626" s="128"/>
      <c r="CR626" s="129"/>
      <c r="CT626" s="132"/>
      <c r="CU626" s="128"/>
      <c r="CV626" s="129"/>
      <c r="CX626" s="132"/>
      <c r="CY626" s="128"/>
      <c r="CZ626" s="129"/>
      <c r="DB626" s="132"/>
      <c r="DC626" s="128"/>
      <c r="DD626" s="129"/>
      <c r="DF626" s="132"/>
      <c r="DG626" s="85"/>
      <c r="DH626" s="85"/>
      <c r="DI626" s="84"/>
      <c r="DK626" s="84"/>
      <c r="DP626" s="84"/>
      <c r="DU626" s="84"/>
      <c r="DY626" s="84"/>
      <c r="EC626" s="84"/>
      <c r="EG626" s="84"/>
      <c r="EK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128"/>
      <c r="AA627" s="129"/>
      <c r="AC627" s="130"/>
      <c r="AD627" s="128"/>
      <c r="AE627" s="129"/>
      <c r="AG627" s="130"/>
      <c r="AH627" s="128"/>
      <c r="AI627" s="129"/>
      <c r="AK627" s="130"/>
      <c r="AL627" s="128"/>
      <c r="AM627" s="129"/>
      <c r="AO627" s="130"/>
      <c r="AP627" s="128"/>
      <c r="AQ627" s="129"/>
      <c r="AS627" s="130"/>
      <c r="AT627" s="128"/>
      <c r="AU627" s="129"/>
      <c r="AW627" s="130"/>
      <c r="AX627" s="85"/>
      <c r="AY627" s="84"/>
      <c r="AZ627" s="84"/>
      <c r="BA627" s="131"/>
      <c r="BB627" s="84"/>
      <c r="BE627" s="84"/>
      <c r="BI627" s="86"/>
      <c r="BO627" s="84"/>
      <c r="BT627" s="84"/>
      <c r="BY627" s="84"/>
      <c r="CD627" s="84"/>
      <c r="CI627" s="128"/>
      <c r="CJ627" s="129"/>
      <c r="CL627" s="132"/>
      <c r="CM627" s="128"/>
      <c r="CN627" s="129"/>
      <c r="CP627" s="132"/>
      <c r="CQ627" s="128"/>
      <c r="CR627" s="129"/>
      <c r="CT627" s="132"/>
      <c r="CU627" s="128"/>
      <c r="CV627" s="129"/>
      <c r="CX627" s="132"/>
      <c r="CY627" s="128"/>
      <c r="CZ627" s="129"/>
      <c r="DB627" s="132"/>
      <c r="DC627" s="128"/>
      <c r="DD627" s="129"/>
      <c r="DF627" s="132"/>
      <c r="DG627" s="85"/>
      <c r="DH627" s="85"/>
      <c r="DI627" s="84"/>
      <c r="DK627" s="84"/>
      <c r="DP627" s="84"/>
      <c r="DU627" s="84"/>
      <c r="DY627" s="84"/>
      <c r="EC627" s="84"/>
      <c r="EG627" s="84"/>
      <c r="EK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128"/>
      <c r="AA628" s="129"/>
      <c r="AC628" s="130"/>
      <c r="AD628" s="128"/>
      <c r="AE628" s="129"/>
      <c r="AG628" s="130"/>
      <c r="AH628" s="128"/>
      <c r="AI628" s="129"/>
      <c r="AK628" s="130"/>
      <c r="AL628" s="128"/>
      <c r="AM628" s="129"/>
      <c r="AO628" s="130"/>
      <c r="AP628" s="128"/>
      <c r="AQ628" s="129"/>
      <c r="AS628" s="130"/>
      <c r="AT628" s="128"/>
      <c r="AU628" s="129"/>
      <c r="AW628" s="130"/>
      <c r="AX628" s="85"/>
      <c r="AY628" s="84"/>
      <c r="AZ628" s="84"/>
      <c r="BA628" s="131"/>
      <c r="BB628" s="84"/>
      <c r="BE628" s="84"/>
      <c r="BI628" s="86"/>
      <c r="BO628" s="84"/>
      <c r="BT628" s="84"/>
      <c r="BY628" s="84"/>
      <c r="CD628" s="84"/>
      <c r="CI628" s="128"/>
      <c r="CJ628" s="129"/>
      <c r="CL628" s="132"/>
      <c r="CM628" s="128"/>
      <c r="CN628" s="129"/>
      <c r="CP628" s="132"/>
      <c r="CQ628" s="128"/>
      <c r="CR628" s="129"/>
      <c r="CT628" s="132"/>
      <c r="CU628" s="128"/>
      <c r="CV628" s="129"/>
      <c r="CX628" s="132"/>
      <c r="CY628" s="128"/>
      <c r="CZ628" s="129"/>
      <c r="DB628" s="132"/>
      <c r="DC628" s="128"/>
      <c r="DD628" s="129"/>
      <c r="DF628" s="132"/>
      <c r="DG628" s="85"/>
      <c r="DH628" s="85"/>
      <c r="DI628" s="84"/>
      <c r="DK628" s="84"/>
      <c r="DP628" s="84"/>
      <c r="DU628" s="84"/>
      <c r="DY628" s="84"/>
      <c r="EC628" s="84"/>
      <c r="EG628" s="84"/>
      <c r="EK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128"/>
      <c r="AA629" s="129"/>
      <c r="AC629" s="130"/>
      <c r="AD629" s="128"/>
      <c r="AE629" s="129"/>
      <c r="AG629" s="130"/>
      <c r="AH629" s="128"/>
      <c r="AI629" s="129"/>
      <c r="AK629" s="130"/>
      <c r="AL629" s="128"/>
      <c r="AM629" s="129"/>
      <c r="AO629" s="130"/>
      <c r="AP629" s="128"/>
      <c r="AQ629" s="129"/>
      <c r="AS629" s="130"/>
      <c r="AT629" s="128"/>
      <c r="AU629" s="129"/>
      <c r="AW629" s="130"/>
      <c r="AX629" s="85"/>
      <c r="AY629" s="84"/>
      <c r="AZ629" s="84"/>
      <c r="BA629" s="131"/>
      <c r="BB629" s="84"/>
      <c r="BE629" s="84"/>
      <c r="BI629" s="86"/>
      <c r="BO629" s="84"/>
      <c r="BT629" s="84"/>
      <c r="BY629" s="84"/>
      <c r="CD629" s="84"/>
      <c r="CI629" s="128"/>
      <c r="CJ629" s="129"/>
      <c r="CL629" s="132"/>
      <c r="CM629" s="128"/>
      <c r="CN629" s="129"/>
      <c r="CP629" s="132"/>
      <c r="CQ629" s="128"/>
      <c r="CR629" s="129"/>
      <c r="CT629" s="132"/>
      <c r="CU629" s="128"/>
      <c r="CV629" s="129"/>
      <c r="CX629" s="132"/>
      <c r="CY629" s="128"/>
      <c r="CZ629" s="129"/>
      <c r="DB629" s="132"/>
      <c r="DC629" s="128"/>
      <c r="DD629" s="129"/>
      <c r="DF629" s="132"/>
      <c r="DG629" s="85"/>
      <c r="DH629" s="85"/>
      <c r="DI629" s="84"/>
      <c r="DK629" s="84"/>
      <c r="DP629" s="84"/>
      <c r="DU629" s="84"/>
      <c r="DY629" s="84"/>
      <c r="EC629" s="84"/>
      <c r="EG629" s="84"/>
      <c r="EK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128"/>
      <c r="AA630" s="129"/>
      <c r="AC630" s="130"/>
      <c r="AD630" s="128"/>
      <c r="AE630" s="129"/>
      <c r="AG630" s="130"/>
      <c r="AH630" s="128"/>
      <c r="AI630" s="129"/>
      <c r="AK630" s="130"/>
      <c r="AL630" s="128"/>
      <c r="AM630" s="129"/>
      <c r="AO630" s="130"/>
      <c r="AP630" s="128"/>
      <c r="AQ630" s="129"/>
      <c r="AS630" s="130"/>
      <c r="AT630" s="128"/>
      <c r="AU630" s="129"/>
      <c r="AW630" s="130"/>
      <c r="AX630" s="85"/>
      <c r="AY630" s="84"/>
      <c r="AZ630" s="84"/>
      <c r="BA630" s="131"/>
      <c r="BB630" s="84"/>
      <c r="BE630" s="84"/>
      <c r="BI630" s="86"/>
      <c r="BO630" s="84"/>
      <c r="BT630" s="84"/>
      <c r="BY630" s="84"/>
      <c r="CD630" s="84"/>
      <c r="CI630" s="128"/>
      <c r="CJ630" s="129"/>
      <c r="CL630" s="132"/>
      <c r="CM630" s="128"/>
      <c r="CN630" s="129"/>
      <c r="CP630" s="132"/>
      <c r="CQ630" s="128"/>
      <c r="CR630" s="129"/>
      <c r="CT630" s="132"/>
      <c r="CU630" s="128"/>
      <c r="CV630" s="129"/>
      <c r="CX630" s="132"/>
      <c r="CY630" s="128"/>
      <c r="CZ630" s="129"/>
      <c r="DB630" s="132"/>
      <c r="DC630" s="128"/>
      <c r="DD630" s="129"/>
      <c r="DF630" s="132"/>
      <c r="DG630" s="85"/>
      <c r="DH630" s="85"/>
      <c r="DI630" s="84"/>
      <c r="DK630" s="84"/>
      <c r="DP630" s="84"/>
      <c r="DU630" s="84"/>
      <c r="DY630" s="84"/>
      <c r="EC630" s="84"/>
      <c r="EG630" s="84"/>
      <c r="EK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128"/>
      <c r="AA631" s="129"/>
      <c r="AC631" s="130"/>
      <c r="AD631" s="128"/>
      <c r="AE631" s="129"/>
      <c r="AG631" s="130"/>
      <c r="AH631" s="128"/>
      <c r="AI631" s="129"/>
      <c r="AK631" s="130"/>
      <c r="AL631" s="128"/>
      <c r="AM631" s="129"/>
      <c r="AO631" s="130"/>
      <c r="AP631" s="128"/>
      <c r="AQ631" s="129"/>
      <c r="AS631" s="130"/>
      <c r="AT631" s="128"/>
      <c r="AU631" s="129"/>
      <c r="AW631" s="130"/>
      <c r="AX631" s="85"/>
      <c r="AY631" s="84"/>
      <c r="AZ631" s="84"/>
      <c r="BA631" s="131"/>
      <c r="BB631" s="84"/>
      <c r="BE631" s="84"/>
      <c r="BI631" s="86"/>
      <c r="BO631" s="84"/>
      <c r="BT631" s="84"/>
      <c r="BY631" s="84"/>
      <c r="CD631" s="84"/>
      <c r="CI631" s="128"/>
      <c r="CJ631" s="129"/>
      <c r="CL631" s="132"/>
      <c r="CM631" s="128"/>
      <c r="CN631" s="129"/>
      <c r="CP631" s="132"/>
      <c r="CQ631" s="128"/>
      <c r="CR631" s="129"/>
      <c r="CT631" s="132"/>
      <c r="CU631" s="128"/>
      <c r="CV631" s="129"/>
      <c r="CX631" s="132"/>
      <c r="CY631" s="128"/>
      <c r="CZ631" s="129"/>
      <c r="DB631" s="132"/>
      <c r="DC631" s="128"/>
      <c r="DD631" s="129"/>
      <c r="DF631" s="132"/>
      <c r="DG631" s="85"/>
      <c r="DH631" s="85"/>
      <c r="DI631" s="84"/>
      <c r="DK631" s="84"/>
      <c r="DP631" s="84"/>
      <c r="DU631" s="84"/>
      <c r="DY631" s="84"/>
      <c r="EC631" s="84"/>
      <c r="EG631" s="84"/>
      <c r="EK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128"/>
      <c r="AA632" s="129"/>
      <c r="AC632" s="130"/>
      <c r="AD632" s="128"/>
      <c r="AE632" s="129"/>
      <c r="AG632" s="130"/>
      <c r="AH632" s="128"/>
      <c r="AI632" s="129"/>
      <c r="AK632" s="130"/>
      <c r="AL632" s="128"/>
      <c r="AM632" s="129"/>
      <c r="AO632" s="130"/>
      <c r="AP632" s="128"/>
      <c r="AQ632" s="129"/>
      <c r="AS632" s="130"/>
      <c r="AT632" s="128"/>
      <c r="AU632" s="129"/>
      <c r="AW632" s="130"/>
      <c r="AX632" s="85"/>
      <c r="AY632" s="84"/>
      <c r="AZ632" s="84"/>
      <c r="BA632" s="131"/>
      <c r="BB632" s="84"/>
      <c r="BE632" s="84"/>
      <c r="BI632" s="86"/>
      <c r="BO632" s="84"/>
      <c r="BT632" s="84"/>
      <c r="BY632" s="84"/>
      <c r="CD632" s="84"/>
      <c r="CI632" s="128"/>
      <c r="CJ632" s="129"/>
      <c r="CL632" s="132"/>
      <c r="CM632" s="128"/>
      <c r="CN632" s="129"/>
      <c r="CP632" s="132"/>
      <c r="CQ632" s="128"/>
      <c r="CR632" s="129"/>
      <c r="CT632" s="132"/>
      <c r="CU632" s="128"/>
      <c r="CV632" s="129"/>
      <c r="CX632" s="132"/>
      <c r="CY632" s="128"/>
      <c r="CZ632" s="129"/>
      <c r="DB632" s="132"/>
      <c r="DC632" s="128"/>
      <c r="DD632" s="129"/>
      <c r="DF632" s="132"/>
      <c r="DG632" s="85"/>
      <c r="DH632" s="85"/>
      <c r="DI632" s="84"/>
      <c r="DK632" s="84"/>
      <c r="DP632" s="84"/>
      <c r="DU632" s="84"/>
      <c r="DY632" s="84"/>
      <c r="EC632" s="84"/>
      <c r="EG632" s="84"/>
      <c r="EK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128"/>
      <c r="AA633" s="129"/>
      <c r="AC633" s="130"/>
      <c r="AD633" s="128"/>
      <c r="AE633" s="129"/>
      <c r="AG633" s="130"/>
      <c r="AH633" s="128"/>
      <c r="AI633" s="129"/>
      <c r="AK633" s="130"/>
      <c r="AL633" s="128"/>
      <c r="AM633" s="129"/>
      <c r="AO633" s="130"/>
      <c r="AP633" s="128"/>
      <c r="AQ633" s="129"/>
      <c r="AS633" s="130"/>
      <c r="AT633" s="128"/>
      <c r="AU633" s="129"/>
      <c r="AW633" s="130"/>
      <c r="AX633" s="85"/>
      <c r="AY633" s="84"/>
      <c r="AZ633" s="84"/>
      <c r="BA633" s="131"/>
      <c r="BB633" s="84"/>
      <c r="BE633" s="84"/>
      <c r="BI633" s="86"/>
      <c r="BO633" s="84"/>
      <c r="BT633" s="84"/>
      <c r="BY633" s="84"/>
      <c r="CD633" s="84"/>
      <c r="CI633" s="128"/>
      <c r="CJ633" s="129"/>
      <c r="CL633" s="132"/>
      <c r="CM633" s="128"/>
      <c r="CN633" s="129"/>
      <c r="CP633" s="132"/>
      <c r="CQ633" s="128"/>
      <c r="CR633" s="129"/>
      <c r="CT633" s="132"/>
      <c r="CU633" s="128"/>
      <c r="CV633" s="129"/>
      <c r="CX633" s="132"/>
      <c r="CY633" s="128"/>
      <c r="CZ633" s="129"/>
      <c r="DB633" s="132"/>
      <c r="DC633" s="128"/>
      <c r="DD633" s="129"/>
      <c r="DF633" s="132"/>
      <c r="DG633" s="85"/>
      <c r="DH633" s="85"/>
      <c r="DI633" s="84"/>
      <c r="DK633" s="84"/>
      <c r="DP633" s="84"/>
      <c r="DU633" s="84"/>
      <c r="DY633" s="84"/>
      <c r="EC633" s="84"/>
      <c r="EG633" s="84"/>
      <c r="EK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128"/>
      <c r="AA634" s="129"/>
      <c r="AC634" s="130"/>
      <c r="AD634" s="128"/>
      <c r="AE634" s="129"/>
      <c r="AG634" s="130"/>
      <c r="AH634" s="128"/>
      <c r="AI634" s="129"/>
      <c r="AK634" s="130"/>
      <c r="AL634" s="128"/>
      <c r="AM634" s="129"/>
      <c r="AO634" s="130"/>
      <c r="AP634" s="128"/>
      <c r="AQ634" s="129"/>
      <c r="AS634" s="130"/>
      <c r="AT634" s="128"/>
      <c r="AU634" s="129"/>
      <c r="AW634" s="130"/>
      <c r="AX634" s="85"/>
      <c r="AY634" s="84"/>
      <c r="AZ634" s="84"/>
      <c r="BA634" s="131"/>
      <c r="BB634" s="84"/>
      <c r="BE634" s="84"/>
      <c r="BI634" s="86"/>
      <c r="BO634" s="84"/>
      <c r="BT634" s="84"/>
      <c r="BY634" s="84"/>
      <c r="CD634" s="84"/>
      <c r="CI634" s="128"/>
      <c r="CJ634" s="129"/>
      <c r="CL634" s="132"/>
      <c r="CM634" s="128"/>
      <c r="CN634" s="129"/>
      <c r="CP634" s="132"/>
      <c r="CQ634" s="128"/>
      <c r="CR634" s="129"/>
      <c r="CT634" s="132"/>
      <c r="CU634" s="128"/>
      <c r="CV634" s="129"/>
      <c r="CX634" s="132"/>
      <c r="CY634" s="128"/>
      <c r="CZ634" s="129"/>
      <c r="DB634" s="132"/>
      <c r="DC634" s="128"/>
      <c r="DD634" s="129"/>
      <c r="DF634" s="132"/>
      <c r="DG634" s="85"/>
      <c r="DH634" s="85"/>
      <c r="DI634" s="84"/>
      <c r="DK634" s="84"/>
      <c r="DP634" s="84"/>
      <c r="DU634" s="84"/>
      <c r="DY634" s="84"/>
      <c r="EC634" s="84"/>
      <c r="EG634" s="84"/>
      <c r="EK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128"/>
      <c r="AA635" s="129"/>
      <c r="AC635" s="130"/>
      <c r="AD635" s="128"/>
      <c r="AE635" s="129"/>
      <c r="AG635" s="130"/>
      <c r="AH635" s="128"/>
      <c r="AI635" s="129"/>
      <c r="AK635" s="130"/>
      <c r="AL635" s="128"/>
      <c r="AM635" s="129"/>
      <c r="AO635" s="130"/>
      <c r="AP635" s="128"/>
      <c r="AQ635" s="129"/>
      <c r="AS635" s="130"/>
      <c r="AT635" s="128"/>
      <c r="AU635" s="129"/>
      <c r="AW635" s="130"/>
      <c r="AX635" s="85"/>
      <c r="AY635" s="84"/>
      <c r="AZ635" s="84"/>
      <c r="BA635" s="131"/>
      <c r="BB635" s="84"/>
      <c r="BE635" s="84"/>
      <c r="BI635" s="86"/>
      <c r="BO635" s="84"/>
      <c r="BT635" s="84"/>
      <c r="BY635" s="84"/>
      <c r="CD635" s="84"/>
      <c r="CI635" s="128"/>
      <c r="CJ635" s="129"/>
      <c r="CL635" s="132"/>
      <c r="CM635" s="128"/>
      <c r="CN635" s="129"/>
      <c r="CP635" s="132"/>
      <c r="CQ635" s="128"/>
      <c r="CR635" s="129"/>
      <c r="CT635" s="132"/>
      <c r="CU635" s="128"/>
      <c r="CV635" s="129"/>
      <c r="CX635" s="132"/>
      <c r="CY635" s="128"/>
      <c r="CZ635" s="129"/>
      <c r="DB635" s="132"/>
      <c r="DC635" s="128"/>
      <c r="DD635" s="129"/>
      <c r="DF635" s="132"/>
      <c r="DG635" s="85"/>
      <c r="DH635" s="85"/>
      <c r="DI635" s="84"/>
      <c r="DK635" s="84"/>
      <c r="DP635" s="84"/>
      <c r="DU635" s="84"/>
      <c r="DY635" s="84"/>
      <c r="EC635" s="84"/>
      <c r="EG635" s="84"/>
      <c r="EK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128"/>
      <c r="AA636" s="129"/>
      <c r="AC636" s="130"/>
      <c r="AD636" s="128"/>
      <c r="AE636" s="129"/>
      <c r="AG636" s="130"/>
      <c r="AH636" s="128"/>
      <c r="AI636" s="129"/>
      <c r="AK636" s="130"/>
      <c r="AL636" s="128"/>
      <c r="AM636" s="129"/>
      <c r="AO636" s="130"/>
      <c r="AP636" s="128"/>
      <c r="AQ636" s="129"/>
      <c r="AS636" s="130"/>
      <c r="AT636" s="128"/>
      <c r="AU636" s="129"/>
      <c r="AW636" s="130"/>
      <c r="AX636" s="85"/>
      <c r="AY636" s="84"/>
      <c r="AZ636" s="84"/>
      <c r="BA636" s="131"/>
      <c r="BB636" s="84"/>
      <c r="BE636" s="84"/>
      <c r="BI636" s="86"/>
      <c r="BO636" s="84"/>
      <c r="BT636" s="84"/>
      <c r="BY636" s="84"/>
      <c r="CD636" s="84"/>
      <c r="CI636" s="128"/>
      <c r="CJ636" s="129"/>
      <c r="CL636" s="132"/>
      <c r="CM636" s="128"/>
      <c r="CN636" s="129"/>
      <c r="CP636" s="132"/>
      <c r="CQ636" s="128"/>
      <c r="CR636" s="129"/>
      <c r="CT636" s="132"/>
      <c r="CU636" s="128"/>
      <c r="CV636" s="129"/>
      <c r="CX636" s="132"/>
      <c r="CY636" s="128"/>
      <c r="CZ636" s="129"/>
      <c r="DB636" s="132"/>
      <c r="DC636" s="128"/>
      <c r="DD636" s="129"/>
      <c r="DF636" s="132"/>
      <c r="DG636" s="85"/>
      <c r="DH636" s="85"/>
      <c r="DI636" s="84"/>
      <c r="DK636" s="84"/>
      <c r="DP636" s="84"/>
      <c r="DU636" s="84"/>
      <c r="DY636" s="84"/>
      <c r="EC636" s="84"/>
      <c r="EG636" s="84"/>
      <c r="EK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128"/>
      <c r="AA637" s="129"/>
      <c r="AC637" s="130"/>
      <c r="AD637" s="128"/>
      <c r="AE637" s="129"/>
      <c r="AG637" s="130"/>
      <c r="AH637" s="128"/>
      <c r="AI637" s="129"/>
      <c r="AK637" s="130"/>
      <c r="AL637" s="128"/>
      <c r="AM637" s="129"/>
      <c r="AO637" s="130"/>
      <c r="AP637" s="128"/>
      <c r="AQ637" s="129"/>
      <c r="AS637" s="130"/>
      <c r="AT637" s="128"/>
      <c r="AU637" s="129"/>
      <c r="AW637" s="130"/>
      <c r="AX637" s="85"/>
      <c r="AY637" s="84"/>
      <c r="AZ637" s="84"/>
      <c r="BA637" s="131"/>
      <c r="BB637" s="84"/>
      <c r="BE637" s="84"/>
      <c r="BI637" s="86"/>
      <c r="BO637" s="84"/>
      <c r="BT637" s="84"/>
      <c r="BY637" s="84"/>
      <c r="CD637" s="84"/>
      <c r="CI637" s="128"/>
      <c r="CJ637" s="129"/>
      <c r="CL637" s="132"/>
      <c r="CM637" s="128"/>
      <c r="CN637" s="129"/>
      <c r="CP637" s="132"/>
      <c r="CQ637" s="128"/>
      <c r="CR637" s="129"/>
      <c r="CT637" s="132"/>
      <c r="CU637" s="128"/>
      <c r="CV637" s="129"/>
      <c r="CX637" s="132"/>
      <c r="CY637" s="128"/>
      <c r="CZ637" s="129"/>
      <c r="DB637" s="132"/>
      <c r="DC637" s="128"/>
      <c r="DD637" s="129"/>
      <c r="DF637" s="132"/>
      <c r="DG637" s="85"/>
      <c r="DH637" s="85"/>
      <c r="DI637" s="84"/>
      <c r="DK637" s="84"/>
      <c r="DP637" s="84"/>
      <c r="DU637" s="84"/>
      <c r="DY637" s="84"/>
      <c r="EC637" s="84"/>
      <c r="EG637" s="84"/>
      <c r="EK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128"/>
      <c r="AA638" s="129"/>
      <c r="AC638" s="130"/>
      <c r="AD638" s="128"/>
      <c r="AE638" s="129"/>
      <c r="AG638" s="130"/>
      <c r="AH638" s="128"/>
      <c r="AI638" s="129"/>
      <c r="AK638" s="130"/>
      <c r="AL638" s="128"/>
      <c r="AM638" s="129"/>
      <c r="AO638" s="130"/>
      <c r="AP638" s="128"/>
      <c r="AQ638" s="129"/>
      <c r="AS638" s="130"/>
      <c r="AT638" s="128"/>
      <c r="AU638" s="129"/>
      <c r="AW638" s="130"/>
      <c r="AX638" s="85"/>
      <c r="AY638" s="84"/>
      <c r="AZ638" s="84"/>
      <c r="BA638" s="131"/>
      <c r="BB638" s="84"/>
      <c r="BE638" s="84"/>
      <c r="BI638" s="86"/>
      <c r="BO638" s="84"/>
      <c r="BT638" s="84"/>
      <c r="BY638" s="84"/>
      <c r="CD638" s="84"/>
      <c r="CI638" s="128"/>
      <c r="CJ638" s="129"/>
      <c r="CL638" s="132"/>
      <c r="CM638" s="128"/>
      <c r="CN638" s="129"/>
      <c r="CP638" s="132"/>
      <c r="CQ638" s="128"/>
      <c r="CR638" s="129"/>
      <c r="CT638" s="132"/>
      <c r="CU638" s="128"/>
      <c r="CV638" s="129"/>
      <c r="CX638" s="132"/>
      <c r="CY638" s="128"/>
      <c r="CZ638" s="129"/>
      <c r="DB638" s="132"/>
      <c r="DC638" s="128"/>
      <c r="DD638" s="129"/>
      <c r="DF638" s="132"/>
      <c r="DG638" s="85"/>
      <c r="DH638" s="85"/>
      <c r="DI638" s="84"/>
      <c r="DK638" s="84"/>
      <c r="DP638" s="84"/>
      <c r="DU638" s="84"/>
      <c r="DY638" s="84"/>
      <c r="EC638" s="84"/>
      <c r="EG638" s="84"/>
      <c r="EK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128"/>
      <c r="AA639" s="129"/>
      <c r="AC639" s="130"/>
      <c r="AD639" s="128"/>
      <c r="AE639" s="129"/>
      <c r="AG639" s="130"/>
      <c r="AH639" s="128"/>
      <c r="AI639" s="129"/>
      <c r="AK639" s="130"/>
      <c r="AL639" s="128"/>
      <c r="AM639" s="129"/>
      <c r="AO639" s="130"/>
      <c r="AP639" s="128"/>
      <c r="AQ639" s="129"/>
      <c r="AS639" s="130"/>
      <c r="AT639" s="128"/>
      <c r="AU639" s="129"/>
      <c r="AW639" s="130"/>
      <c r="AX639" s="85"/>
      <c r="AY639" s="84"/>
      <c r="AZ639" s="84"/>
      <c r="BA639" s="131"/>
      <c r="BB639" s="84"/>
      <c r="BE639" s="84"/>
      <c r="BI639" s="86"/>
      <c r="BO639" s="84"/>
      <c r="BT639" s="84"/>
      <c r="BY639" s="84"/>
      <c r="CD639" s="84"/>
      <c r="CI639" s="128"/>
      <c r="CJ639" s="129"/>
      <c r="CL639" s="132"/>
      <c r="CM639" s="128"/>
      <c r="CN639" s="129"/>
      <c r="CP639" s="132"/>
      <c r="CQ639" s="128"/>
      <c r="CR639" s="129"/>
      <c r="CT639" s="132"/>
      <c r="CU639" s="128"/>
      <c r="CV639" s="129"/>
      <c r="CX639" s="132"/>
      <c r="CY639" s="128"/>
      <c r="CZ639" s="129"/>
      <c r="DB639" s="132"/>
      <c r="DC639" s="128"/>
      <c r="DD639" s="129"/>
      <c r="DF639" s="132"/>
      <c r="DG639" s="85"/>
      <c r="DH639" s="85"/>
      <c r="DI639" s="84"/>
      <c r="DK639" s="84"/>
      <c r="DP639" s="84"/>
      <c r="DU639" s="84"/>
      <c r="DY639" s="84"/>
      <c r="EC639" s="84"/>
      <c r="EG639" s="84"/>
      <c r="EK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128"/>
      <c r="AA640" s="129"/>
      <c r="AC640" s="130"/>
      <c r="AD640" s="128"/>
      <c r="AE640" s="129"/>
      <c r="AG640" s="130"/>
      <c r="AH640" s="128"/>
      <c r="AI640" s="129"/>
      <c r="AK640" s="130"/>
      <c r="AL640" s="128"/>
      <c r="AM640" s="129"/>
      <c r="AO640" s="130"/>
      <c r="AP640" s="128"/>
      <c r="AQ640" s="129"/>
      <c r="AS640" s="130"/>
      <c r="AT640" s="128"/>
      <c r="AU640" s="129"/>
      <c r="AW640" s="130"/>
      <c r="AX640" s="85"/>
      <c r="AY640" s="84"/>
      <c r="AZ640" s="84"/>
      <c r="BA640" s="131"/>
      <c r="BB640" s="84"/>
      <c r="BE640" s="84"/>
      <c r="BI640" s="86"/>
      <c r="BO640" s="84"/>
      <c r="BT640" s="84"/>
      <c r="BY640" s="84"/>
      <c r="CD640" s="84"/>
      <c r="CI640" s="128"/>
      <c r="CJ640" s="129"/>
      <c r="CL640" s="132"/>
      <c r="CM640" s="128"/>
      <c r="CN640" s="129"/>
      <c r="CP640" s="132"/>
      <c r="CQ640" s="128"/>
      <c r="CR640" s="129"/>
      <c r="CT640" s="132"/>
      <c r="CU640" s="128"/>
      <c r="CV640" s="129"/>
      <c r="CX640" s="132"/>
      <c r="CY640" s="128"/>
      <c r="CZ640" s="129"/>
      <c r="DB640" s="132"/>
      <c r="DC640" s="128"/>
      <c r="DD640" s="129"/>
      <c r="DF640" s="132"/>
      <c r="DG640" s="85"/>
      <c r="DH640" s="85"/>
      <c r="DI640" s="84"/>
      <c r="DK640" s="84"/>
      <c r="DP640" s="84"/>
      <c r="DU640" s="84"/>
      <c r="DY640" s="84"/>
      <c r="EC640" s="84"/>
      <c r="EG640" s="84"/>
      <c r="EK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128"/>
      <c r="AA641" s="129"/>
      <c r="AC641" s="130"/>
      <c r="AD641" s="128"/>
      <c r="AE641" s="129"/>
      <c r="AG641" s="130"/>
      <c r="AH641" s="128"/>
      <c r="AI641" s="129"/>
      <c r="AK641" s="130"/>
      <c r="AL641" s="128"/>
      <c r="AM641" s="129"/>
      <c r="AO641" s="130"/>
      <c r="AP641" s="128"/>
      <c r="AQ641" s="129"/>
      <c r="AS641" s="130"/>
      <c r="AT641" s="128"/>
      <c r="AU641" s="129"/>
      <c r="AW641" s="130"/>
      <c r="AX641" s="85"/>
      <c r="AY641" s="84"/>
      <c r="AZ641" s="84"/>
      <c r="BA641" s="131"/>
      <c r="BB641" s="84"/>
      <c r="BE641" s="84"/>
      <c r="BI641" s="86"/>
      <c r="BO641" s="84"/>
      <c r="BT641" s="84"/>
      <c r="BY641" s="84"/>
      <c r="CD641" s="84"/>
      <c r="CI641" s="128"/>
      <c r="CJ641" s="129"/>
      <c r="CL641" s="132"/>
      <c r="CM641" s="128"/>
      <c r="CN641" s="129"/>
      <c r="CP641" s="132"/>
      <c r="CQ641" s="128"/>
      <c r="CR641" s="129"/>
      <c r="CT641" s="132"/>
      <c r="CU641" s="128"/>
      <c r="CV641" s="129"/>
      <c r="CX641" s="132"/>
      <c r="CY641" s="128"/>
      <c r="CZ641" s="129"/>
      <c r="DB641" s="132"/>
      <c r="DC641" s="128"/>
      <c r="DD641" s="129"/>
      <c r="DF641" s="132"/>
      <c r="DG641" s="85"/>
      <c r="DH641" s="85"/>
      <c r="DI641" s="84"/>
      <c r="DK641" s="84"/>
      <c r="DP641" s="84"/>
      <c r="DU641" s="84"/>
      <c r="DY641" s="84"/>
      <c r="EC641" s="84"/>
      <c r="EG641" s="84"/>
      <c r="EK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128"/>
      <c r="AA642" s="129"/>
      <c r="AC642" s="130"/>
      <c r="AD642" s="128"/>
      <c r="AE642" s="129"/>
      <c r="AG642" s="130"/>
      <c r="AH642" s="128"/>
      <c r="AI642" s="129"/>
      <c r="AK642" s="130"/>
      <c r="AL642" s="128"/>
      <c r="AM642" s="129"/>
      <c r="AO642" s="130"/>
      <c r="AP642" s="128"/>
      <c r="AQ642" s="129"/>
      <c r="AS642" s="130"/>
      <c r="AT642" s="128"/>
      <c r="AU642" s="129"/>
      <c r="AW642" s="130"/>
      <c r="AX642" s="85"/>
      <c r="AY642" s="84"/>
      <c r="AZ642" s="84"/>
      <c r="BA642" s="131"/>
      <c r="BB642" s="84"/>
      <c r="BE642" s="84"/>
      <c r="BI642" s="86"/>
      <c r="BO642" s="84"/>
      <c r="BT642" s="84"/>
      <c r="BY642" s="84"/>
      <c r="CD642" s="84"/>
      <c r="CI642" s="128"/>
      <c r="CJ642" s="129"/>
      <c r="CL642" s="132"/>
      <c r="CM642" s="128"/>
      <c r="CN642" s="129"/>
      <c r="CP642" s="132"/>
      <c r="CQ642" s="128"/>
      <c r="CR642" s="129"/>
      <c r="CT642" s="132"/>
      <c r="CU642" s="128"/>
      <c r="CV642" s="129"/>
      <c r="CX642" s="132"/>
      <c r="CY642" s="128"/>
      <c r="CZ642" s="129"/>
      <c r="DB642" s="132"/>
      <c r="DC642" s="128"/>
      <c r="DD642" s="129"/>
      <c r="DF642" s="132"/>
      <c r="DG642" s="85"/>
      <c r="DH642" s="85"/>
      <c r="DI642" s="84"/>
      <c r="DK642" s="84"/>
      <c r="DP642" s="84"/>
      <c r="DU642" s="84"/>
      <c r="DY642" s="84"/>
      <c r="EC642" s="84"/>
      <c r="EG642" s="84"/>
      <c r="EK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128"/>
      <c r="AA643" s="129"/>
      <c r="AC643" s="130"/>
      <c r="AD643" s="128"/>
      <c r="AE643" s="129"/>
      <c r="AG643" s="130"/>
      <c r="AH643" s="128"/>
      <c r="AI643" s="129"/>
      <c r="AK643" s="130"/>
      <c r="AL643" s="128"/>
      <c r="AM643" s="129"/>
      <c r="AO643" s="130"/>
      <c r="AP643" s="128"/>
      <c r="AQ643" s="129"/>
      <c r="AS643" s="130"/>
      <c r="AT643" s="128"/>
      <c r="AU643" s="129"/>
      <c r="AW643" s="130"/>
      <c r="AX643" s="85"/>
      <c r="AY643" s="84"/>
      <c r="AZ643" s="84"/>
      <c r="BA643" s="131"/>
      <c r="BB643" s="84"/>
      <c r="BE643" s="84"/>
      <c r="BI643" s="86"/>
      <c r="BO643" s="84"/>
      <c r="BT643" s="84"/>
      <c r="BY643" s="84"/>
      <c r="CD643" s="84"/>
      <c r="CI643" s="128"/>
      <c r="CJ643" s="129"/>
      <c r="CL643" s="132"/>
      <c r="CM643" s="128"/>
      <c r="CN643" s="129"/>
      <c r="CP643" s="132"/>
      <c r="CQ643" s="128"/>
      <c r="CR643" s="129"/>
      <c r="CT643" s="132"/>
      <c r="CU643" s="128"/>
      <c r="CV643" s="129"/>
      <c r="CX643" s="132"/>
      <c r="CY643" s="128"/>
      <c r="CZ643" s="129"/>
      <c r="DB643" s="132"/>
      <c r="DC643" s="128"/>
      <c r="DD643" s="129"/>
      <c r="DF643" s="132"/>
      <c r="DG643" s="85"/>
      <c r="DH643" s="85"/>
      <c r="DI643" s="84"/>
      <c r="DK643" s="84"/>
      <c r="DP643" s="84"/>
      <c r="DU643" s="84"/>
      <c r="DY643" s="84"/>
      <c r="EC643" s="84"/>
      <c r="EG643" s="84"/>
      <c r="EK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128"/>
      <c r="AA644" s="129"/>
      <c r="AC644" s="130"/>
      <c r="AD644" s="128"/>
      <c r="AE644" s="129"/>
      <c r="AG644" s="130"/>
      <c r="AH644" s="128"/>
      <c r="AI644" s="129"/>
      <c r="AK644" s="130"/>
      <c r="AL644" s="128"/>
      <c r="AM644" s="129"/>
      <c r="AO644" s="130"/>
      <c r="AP644" s="128"/>
      <c r="AQ644" s="129"/>
      <c r="AS644" s="130"/>
      <c r="AT644" s="128"/>
      <c r="AU644" s="129"/>
      <c r="AW644" s="130"/>
      <c r="AX644" s="85"/>
      <c r="AY644" s="84"/>
      <c r="AZ644" s="84"/>
      <c r="BA644" s="131"/>
      <c r="BB644" s="84"/>
      <c r="BE644" s="84"/>
      <c r="BI644" s="86"/>
      <c r="BO644" s="84"/>
      <c r="BT644" s="84"/>
      <c r="BY644" s="84"/>
      <c r="CD644" s="84"/>
      <c r="CI644" s="128"/>
      <c r="CJ644" s="129"/>
      <c r="CL644" s="132"/>
      <c r="CM644" s="128"/>
      <c r="CN644" s="129"/>
      <c r="CP644" s="132"/>
      <c r="CQ644" s="128"/>
      <c r="CR644" s="129"/>
      <c r="CT644" s="132"/>
      <c r="CU644" s="128"/>
      <c r="CV644" s="129"/>
      <c r="CX644" s="132"/>
      <c r="CY644" s="128"/>
      <c r="CZ644" s="129"/>
      <c r="DB644" s="132"/>
      <c r="DC644" s="128"/>
      <c r="DD644" s="129"/>
      <c r="DF644" s="132"/>
      <c r="DG644" s="85"/>
      <c r="DH644" s="85"/>
      <c r="DI644" s="84"/>
      <c r="DK644" s="84"/>
      <c r="DP644" s="84"/>
      <c r="DU644" s="84"/>
      <c r="DY644" s="84"/>
      <c r="EC644" s="84"/>
      <c r="EG644" s="84"/>
      <c r="EK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128"/>
      <c r="AA645" s="129"/>
      <c r="AC645" s="130"/>
      <c r="AD645" s="128"/>
      <c r="AE645" s="129"/>
      <c r="AG645" s="130"/>
      <c r="AH645" s="128"/>
      <c r="AI645" s="129"/>
      <c r="AK645" s="130"/>
      <c r="AL645" s="128"/>
      <c r="AM645" s="129"/>
      <c r="AO645" s="130"/>
      <c r="AP645" s="128"/>
      <c r="AQ645" s="129"/>
      <c r="AS645" s="130"/>
      <c r="AT645" s="128"/>
      <c r="AU645" s="129"/>
      <c r="AW645" s="130"/>
      <c r="AX645" s="85"/>
      <c r="AY645" s="84"/>
      <c r="AZ645" s="84"/>
      <c r="BA645" s="131"/>
      <c r="BB645" s="84"/>
      <c r="BE645" s="84"/>
      <c r="BI645" s="86"/>
      <c r="BO645" s="84"/>
      <c r="BT645" s="84"/>
      <c r="BY645" s="84"/>
      <c r="CD645" s="84"/>
      <c r="CI645" s="128"/>
      <c r="CJ645" s="129"/>
      <c r="CL645" s="132"/>
      <c r="CM645" s="128"/>
      <c r="CN645" s="129"/>
      <c r="CP645" s="132"/>
      <c r="CQ645" s="128"/>
      <c r="CR645" s="129"/>
      <c r="CT645" s="132"/>
      <c r="CU645" s="128"/>
      <c r="CV645" s="129"/>
      <c r="CX645" s="132"/>
      <c r="CY645" s="128"/>
      <c r="CZ645" s="129"/>
      <c r="DB645" s="132"/>
      <c r="DC645" s="128"/>
      <c r="DD645" s="129"/>
      <c r="DF645" s="132"/>
      <c r="DG645" s="85"/>
      <c r="DH645" s="85"/>
      <c r="DI645" s="84"/>
      <c r="DK645" s="84"/>
      <c r="DP645" s="84"/>
      <c r="DU645" s="84"/>
      <c r="DY645" s="84"/>
      <c r="EC645" s="84"/>
      <c r="EG645" s="84"/>
      <c r="EK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128"/>
      <c r="AA646" s="129"/>
      <c r="AC646" s="130"/>
      <c r="AD646" s="128"/>
      <c r="AE646" s="129"/>
      <c r="AG646" s="130"/>
      <c r="AH646" s="128"/>
      <c r="AI646" s="129"/>
      <c r="AK646" s="130"/>
      <c r="AL646" s="128"/>
      <c r="AM646" s="129"/>
      <c r="AO646" s="130"/>
      <c r="AP646" s="128"/>
      <c r="AQ646" s="129"/>
      <c r="AS646" s="130"/>
      <c r="AT646" s="128"/>
      <c r="AU646" s="129"/>
      <c r="AW646" s="130"/>
      <c r="AX646" s="85"/>
      <c r="AY646" s="84"/>
      <c r="AZ646" s="84"/>
      <c r="BA646" s="131"/>
      <c r="BB646" s="84"/>
      <c r="BE646" s="84"/>
      <c r="BI646" s="86"/>
      <c r="BO646" s="84"/>
      <c r="BT646" s="84"/>
      <c r="BY646" s="84"/>
      <c r="CD646" s="84"/>
      <c r="CI646" s="128"/>
      <c r="CJ646" s="129"/>
      <c r="CL646" s="132"/>
      <c r="CM646" s="128"/>
      <c r="CN646" s="129"/>
      <c r="CP646" s="132"/>
      <c r="CQ646" s="128"/>
      <c r="CR646" s="129"/>
      <c r="CT646" s="132"/>
      <c r="CU646" s="128"/>
      <c r="CV646" s="129"/>
      <c r="CX646" s="132"/>
      <c r="CY646" s="128"/>
      <c r="CZ646" s="129"/>
      <c r="DB646" s="132"/>
      <c r="DC646" s="128"/>
      <c r="DD646" s="129"/>
      <c r="DF646" s="132"/>
      <c r="DG646" s="85"/>
      <c r="DH646" s="85"/>
      <c r="DI646" s="84"/>
      <c r="DK646" s="84"/>
      <c r="DP646" s="84"/>
      <c r="DU646" s="84"/>
      <c r="DY646" s="84"/>
      <c r="EC646" s="84"/>
      <c r="EG646" s="84"/>
      <c r="EK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128"/>
      <c r="AA647" s="129"/>
      <c r="AC647" s="130"/>
      <c r="AD647" s="128"/>
      <c r="AE647" s="129"/>
      <c r="AG647" s="130"/>
      <c r="AH647" s="128"/>
      <c r="AI647" s="129"/>
      <c r="AK647" s="130"/>
      <c r="AL647" s="128"/>
      <c r="AM647" s="129"/>
      <c r="AO647" s="130"/>
      <c r="AP647" s="128"/>
      <c r="AQ647" s="129"/>
      <c r="AS647" s="130"/>
      <c r="AT647" s="128"/>
      <c r="AU647" s="129"/>
      <c r="AW647" s="130"/>
      <c r="AX647" s="85"/>
      <c r="AY647" s="84"/>
      <c r="AZ647" s="84"/>
      <c r="BA647" s="131"/>
      <c r="BB647" s="84"/>
      <c r="BE647" s="84"/>
      <c r="BI647" s="86"/>
      <c r="BO647" s="84"/>
      <c r="BT647" s="84"/>
      <c r="BY647" s="84"/>
      <c r="CD647" s="84"/>
      <c r="CI647" s="128"/>
      <c r="CJ647" s="129"/>
      <c r="CL647" s="132"/>
      <c r="CM647" s="128"/>
      <c r="CN647" s="129"/>
      <c r="CP647" s="132"/>
      <c r="CQ647" s="128"/>
      <c r="CR647" s="129"/>
      <c r="CT647" s="132"/>
      <c r="CU647" s="128"/>
      <c r="CV647" s="129"/>
      <c r="CX647" s="132"/>
      <c r="CY647" s="128"/>
      <c r="CZ647" s="129"/>
      <c r="DB647" s="132"/>
      <c r="DC647" s="128"/>
      <c r="DD647" s="129"/>
      <c r="DF647" s="132"/>
      <c r="DG647" s="85"/>
      <c r="DH647" s="85"/>
      <c r="DI647" s="84"/>
      <c r="DK647" s="84"/>
      <c r="DP647" s="84"/>
      <c r="DU647" s="84"/>
      <c r="DY647" s="84"/>
      <c r="EC647" s="84"/>
      <c r="EG647" s="84"/>
      <c r="EK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128"/>
      <c r="AA648" s="129"/>
      <c r="AC648" s="130"/>
      <c r="AD648" s="128"/>
      <c r="AE648" s="129"/>
      <c r="AG648" s="130"/>
      <c r="AH648" s="128"/>
      <c r="AI648" s="129"/>
      <c r="AK648" s="130"/>
      <c r="AL648" s="128"/>
      <c r="AM648" s="129"/>
      <c r="AO648" s="130"/>
      <c r="AP648" s="128"/>
      <c r="AQ648" s="129"/>
      <c r="AS648" s="130"/>
      <c r="AT648" s="128"/>
      <c r="AU648" s="129"/>
      <c r="AW648" s="130"/>
      <c r="AX648" s="85"/>
      <c r="AY648" s="84"/>
      <c r="AZ648" s="84"/>
      <c r="BA648" s="131"/>
      <c r="BB648" s="84"/>
      <c r="BE648" s="84"/>
      <c r="BI648" s="86"/>
      <c r="BO648" s="84"/>
      <c r="BT648" s="84"/>
      <c r="BY648" s="84"/>
      <c r="CD648" s="84"/>
      <c r="CI648" s="128"/>
      <c r="CJ648" s="129"/>
      <c r="CL648" s="132"/>
      <c r="CM648" s="128"/>
      <c r="CN648" s="129"/>
      <c r="CP648" s="132"/>
      <c r="CQ648" s="128"/>
      <c r="CR648" s="129"/>
      <c r="CT648" s="132"/>
      <c r="CU648" s="128"/>
      <c r="CV648" s="129"/>
      <c r="CX648" s="132"/>
      <c r="CY648" s="128"/>
      <c r="CZ648" s="129"/>
      <c r="DB648" s="132"/>
      <c r="DC648" s="128"/>
      <c r="DD648" s="129"/>
      <c r="DF648" s="132"/>
      <c r="DG648" s="85"/>
      <c r="DH648" s="85"/>
      <c r="DI648" s="84"/>
      <c r="DK648" s="84"/>
      <c r="DP648" s="84"/>
      <c r="DU648" s="84"/>
      <c r="DY648" s="84"/>
      <c r="EC648" s="84"/>
      <c r="EG648" s="84"/>
      <c r="EK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128"/>
      <c r="AA649" s="129"/>
      <c r="AC649" s="130"/>
      <c r="AD649" s="128"/>
      <c r="AE649" s="129"/>
      <c r="AG649" s="130"/>
      <c r="AH649" s="128"/>
      <c r="AI649" s="129"/>
      <c r="AK649" s="130"/>
      <c r="AL649" s="128"/>
      <c r="AM649" s="129"/>
      <c r="AO649" s="130"/>
      <c r="AP649" s="128"/>
      <c r="AQ649" s="129"/>
      <c r="AS649" s="130"/>
      <c r="AT649" s="128"/>
      <c r="AU649" s="129"/>
      <c r="AW649" s="130"/>
      <c r="AX649" s="85"/>
      <c r="AY649" s="84"/>
      <c r="AZ649" s="84"/>
      <c r="BA649" s="131"/>
      <c r="BB649" s="84"/>
      <c r="BE649" s="84"/>
      <c r="BI649" s="86"/>
      <c r="BO649" s="84"/>
      <c r="BT649" s="84"/>
      <c r="BY649" s="84"/>
      <c r="CD649" s="84"/>
      <c r="CI649" s="128"/>
      <c r="CJ649" s="129"/>
      <c r="CL649" s="132"/>
      <c r="CM649" s="128"/>
      <c r="CN649" s="129"/>
      <c r="CP649" s="132"/>
      <c r="CQ649" s="128"/>
      <c r="CR649" s="129"/>
      <c r="CT649" s="132"/>
      <c r="CU649" s="128"/>
      <c r="CV649" s="129"/>
      <c r="CX649" s="132"/>
      <c r="CY649" s="128"/>
      <c r="CZ649" s="129"/>
      <c r="DB649" s="132"/>
      <c r="DC649" s="128"/>
      <c r="DD649" s="129"/>
      <c r="DF649" s="132"/>
      <c r="DG649" s="85"/>
      <c r="DH649" s="85"/>
      <c r="DI649" s="84"/>
      <c r="DK649" s="84"/>
      <c r="DP649" s="84"/>
      <c r="DU649" s="84"/>
      <c r="DY649" s="84"/>
      <c r="EC649" s="84"/>
      <c r="EG649" s="84"/>
      <c r="EK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128"/>
      <c r="AA650" s="129"/>
      <c r="AC650" s="130"/>
      <c r="AD650" s="128"/>
      <c r="AE650" s="129"/>
      <c r="AG650" s="130"/>
      <c r="AH650" s="128"/>
      <c r="AI650" s="129"/>
      <c r="AK650" s="130"/>
      <c r="AL650" s="128"/>
      <c r="AM650" s="129"/>
      <c r="AO650" s="130"/>
      <c r="AP650" s="128"/>
      <c r="AQ650" s="129"/>
      <c r="AS650" s="130"/>
      <c r="AT650" s="128"/>
      <c r="AU650" s="129"/>
      <c r="AW650" s="130"/>
      <c r="AX650" s="85"/>
      <c r="AY650" s="84"/>
      <c r="AZ650" s="84"/>
      <c r="BA650" s="131"/>
      <c r="BB650" s="84"/>
      <c r="BE650" s="84"/>
      <c r="BI650" s="86"/>
      <c r="BO650" s="84"/>
      <c r="BT650" s="84"/>
      <c r="BY650" s="84"/>
      <c r="CD650" s="84"/>
      <c r="CI650" s="128"/>
      <c r="CJ650" s="129"/>
      <c r="CL650" s="132"/>
      <c r="CM650" s="128"/>
      <c r="CN650" s="129"/>
      <c r="CP650" s="132"/>
      <c r="CQ650" s="128"/>
      <c r="CR650" s="129"/>
      <c r="CT650" s="132"/>
      <c r="CU650" s="128"/>
      <c r="CV650" s="129"/>
      <c r="CX650" s="132"/>
      <c r="CY650" s="128"/>
      <c r="CZ650" s="129"/>
      <c r="DB650" s="132"/>
      <c r="DC650" s="128"/>
      <c r="DD650" s="129"/>
      <c r="DF650" s="132"/>
      <c r="DG650" s="85"/>
      <c r="DH650" s="85"/>
      <c r="DI650" s="84"/>
      <c r="DK650" s="84"/>
      <c r="DP650" s="84"/>
      <c r="DU650" s="84"/>
      <c r="DY650" s="84"/>
      <c r="EC650" s="84"/>
      <c r="EG650" s="84"/>
      <c r="EK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128"/>
      <c r="AA651" s="129"/>
      <c r="AC651" s="130"/>
      <c r="AD651" s="128"/>
      <c r="AE651" s="129"/>
      <c r="AG651" s="130"/>
      <c r="AH651" s="128"/>
      <c r="AI651" s="129"/>
      <c r="AK651" s="130"/>
      <c r="AL651" s="128"/>
      <c r="AM651" s="129"/>
      <c r="AO651" s="130"/>
      <c r="AP651" s="128"/>
      <c r="AQ651" s="129"/>
      <c r="AS651" s="130"/>
      <c r="AT651" s="128"/>
      <c r="AU651" s="129"/>
      <c r="AW651" s="130"/>
      <c r="AX651" s="85"/>
      <c r="AY651" s="84"/>
      <c r="AZ651" s="84"/>
      <c r="BA651" s="131"/>
      <c r="BB651" s="84"/>
      <c r="BE651" s="84"/>
      <c r="BI651" s="86"/>
      <c r="BO651" s="84"/>
      <c r="BT651" s="84"/>
      <c r="BY651" s="84"/>
      <c r="CD651" s="84"/>
      <c r="CI651" s="128"/>
      <c r="CJ651" s="129"/>
      <c r="CL651" s="132"/>
      <c r="CM651" s="128"/>
      <c r="CN651" s="129"/>
      <c r="CP651" s="132"/>
      <c r="CQ651" s="128"/>
      <c r="CR651" s="129"/>
      <c r="CT651" s="132"/>
      <c r="CU651" s="128"/>
      <c r="CV651" s="129"/>
      <c r="CX651" s="132"/>
      <c r="CY651" s="128"/>
      <c r="CZ651" s="129"/>
      <c r="DB651" s="132"/>
      <c r="DC651" s="128"/>
      <c r="DD651" s="129"/>
      <c r="DF651" s="132"/>
      <c r="DG651" s="85"/>
      <c r="DH651" s="85"/>
      <c r="DI651" s="84"/>
      <c r="DK651" s="84"/>
      <c r="DP651" s="84"/>
      <c r="DU651" s="84"/>
      <c r="DY651" s="84"/>
      <c r="EC651" s="84"/>
      <c r="EG651" s="84"/>
      <c r="EK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128"/>
      <c r="AA652" s="129"/>
      <c r="AC652" s="130"/>
      <c r="AD652" s="128"/>
      <c r="AE652" s="129"/>
      <c r="AG652" s="130"/>
      <c r="AH652" s="128"/>
      <c r="AI652" s="129"/>
      <c r="AK652" s="130"/>
      <c r="AL652" s="128"/>
      <c r="AM652" s="129"/>
      <c r="AO652" s="130"/>
      <c r="AP652" s="128"/>
      <c r="AQ652" s="129"/>
      <c r="AS652" s="130"/>
      <c r="AT652" s="128"/>
      <c r="AU652" s="129"/>
      <c r="AW652" s="130"/>
      <c r="AX652" s="85"/>
      <c r="AY652" s="84"/>
      <c r="AZ652" s="84"/>
      <c r="BA652" s="131"/>
      <c r="BB652" s="84"/>
      <c r="BE652" s="84"/>
      <c r="BI652" s="86"/>
      <c r="BO652" s="84"/>
      <c r="BT652" s="84"/>
      <c r="BY652" s="84"/>
      <c r="CD652" s="84"/>
      <c r="CI652" s="128"/>
      <c r="CJ652" s="129"/>
      <c r="CL652" s="132"/>
      <c r="CM652" s="128"/>
      <c r="CN652" s="129"/>
      <c r="CP652" s="132"/>
      <c r="CQ652" s="128"/>
      <c r="CR652" s="129"/>
      <c r="CT652" s="132"/>
      <c r="CU652" s="128"/>
      <c r="CV652" s="129"/>
      <c r="CX652" s="132"/>
      <c r="CY652" s="128"/>
      <c r="CZ652" s="129"/>
      <c r="DB652" s="132"/>
      <c r="DC652" s="128"/>
      <c r="DD652" s="129"/>
      <c r="DF652" s="132"/>
      <c r="DG652" s="85"/>
      <c r="DH652" s="85"/>
      <c r="DI652" s="84"/>
      <c r="DK652" s="84"/>
      <c r="DP652" s="84"/>
      <c r="DU652" s="84"/>
      <c r="DY652" s="84"/>
      <c r="EC652" s="84"/>
      <c r="EG652" s="84"/>
      <c r="EK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128"/>
      <c r="AA653" s="129"/>
      <c r="AC653" s="130"/>
      <c r="AD653" s="128"/>
      <c r="AE653" s="129"/>
      <c r="AG653" s="130"/>
      <c r="AH653" s="128"/>
      <c r="AI653" s="129"/>
      <c r="AK653" s="130"/>
      <c r="AL653" s="128"/>
      <c r="AM653" s="129"/>
      <c r="AO653" s="130"/>
      <c r="AP653" s="128"/>
      <c r="AQ653" s="129"/>
      <c r="AS653" s="130"/>
      <c r="AT653" s="128"/>
      <c r="AU653" s="129"/>
      <c r="AW653" s="130"/>
      <c r="AX653" s="85"/>
      <c r="AY653" s="84"/>
      <c r="AZ653" s="84"/>
      <c r="BA653" s="131"/>
      <c r="BB653" s="84"/>
      <c r="BE653" s="84"/>
      <c r="BI653" s="86"/>
      <c r="BO653" s="84"/>
      <c r="BT653" s="84"/>
      <c r="BY653" s="84"/>
      <c r="CD653" s="84"/>
      <c r="CI653" s="128"/>
      <c r="CJ653" s="129"/>
      <c r="CL653" s="132"/>
      <c r="CM653" s="128"/>
      <c r="CN653" s="129"/>
      <c r="CP653" s="132"/>
      <c r="CQ653" s="128"/>
      <c r="CR653" s="129"/>
      <c r="CT653" s="132"/>
      <c r="CU653" s="128"/>
      <c r="CV653" s="129"/>
      <c r="CX653" s="132"/>
      <c r="CY653" s="128"/>
      <c r="CZ653" s="129"/>
      <c r="DB653" s="132"/>
      <c r="DC653" s="128"/>
      <c r="DD653" s="129"/>
      <c r="DF653" s="132"/>
      <c r="DG653" s="85"/>
      <c r="DH653" s="85"/>
      <c r="DI653" s="84"/>
      <c r="DK653" s="84"/>
      <c r="DP653" s="84"/>
      <c r="DU653" s="84"/>
      <c r="DY653" s="84"/>
      <c r="EC653" s="84"/>
      <c r="EG653" s="84"/>
      <c r="EK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128"/>
      <c r="AA654" s="129"/>
      <c r="AC654" s="130"/>
      <c r="AD654" s="128"/>
      <c r="AE654" s="129"/>
      <c r="AG654" s="130"/>
      <c r="AH654" s="128"/>
      <c r="AI654" s="129"/>
      <c r="AK654" s="130"/>
      <c r="AL654" s="128"/>
      <c r="AM654" s="129"/>
      <c r="AO654" s="130"/>
      <c r="AP654" s="128"/>
      <c r="AQ654" s="129"/>
      <c r="AS654" s="130"/>
      <c r="AT654" s="128"/>
      <c r="AU654" s="129"/>
      <c r="AW654" s="130"/>
      <c r="AX654" s="85"/>
      <c r="AY654" s="84"/>
      <c r="AZ654" s="84"/>
      <c r="BA654" s="131"/>
      <c r="BB654" s="84"/>
      <c r="BE654" s="84"/>
      <c r="BI654" s="86"/>
      <c r="BO654" s="84"/>
      <c r="BT654" s="84"/>
      <c r="BY654" s="84"/>
      <c r="CD654" s="84"/>
      <c r="CI654" s="128"/>
      <c r="CJ654" s="129"/>
      <c r="CL654" s="132"/>
      <c r="CM654" s="128"/>
      <c r="CN654" s="129"/>
      <c r="CP654" s="132"/>
      <c r="CQ654" s="128"/>
      <c r="CR654" s="129"/>
      <c r="CT654" s="132"/>
      <c r="CU654" s="128"/>
      <c r="CV654" s="129"/>
      <c r="CX654" s="132"/>
      <c r="CY654" s="128"/>
      <c r="CZ654" s="129"/>
      <c r="DB654" s="132"/>
      <c r="DC654" s="128"/>
      <c r="DD654" s="129"/>
      <c r="DF654" s="132"/>
      <c r="DG654" s="85"/>
      <c r="DH654" s="85"/>
      <c r="DI654" s="84"/>
      <c r="DK654" s="84"/>
      <c r="DP654" s="84"/>
      <c r="DU654" s="84"/>
      <c r="DY654" s="84"/>
      <c r="EC654" s="84"/>
      <c r="EG654" s="84"/>
      <c r="EK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128"/>
      <c r="AA655" s="129"/>
      <c r="AC655" s="130"/>
      <c r="AD655" s="128"/>
      <c r="AE655" s="129"/>
      <c r="AG655" s="130"/>
      <c r="AH655" s="128"/>
      <c r="AI655" s="129"/>
      <c r="AK655" s="130"/>
      <c r="AL655" s="128"/>
      <c r="AM655" s="129"/>
      <c r="AO655" s="130"/>
      <c r="AP655" s="128"/>
      <c r="AQ655" s="129"/>
      <c r="AS655" s="130"/>
      <c r="AT655" s="128"/>
      <c r="AU655" s="129"/>
      <c r="AW655" s="130"/>
      <c r="AX655" s="85"/>
      <c r="AY655" s="84"/>
      <c r="AZ655" s="84"/>
      <c r="BA655" s="131"/>
      <c r="BB655" s="84"/>
      <c r="BE655" s="84"/>
      <c r="BI655" s="86"/>
      <c r="BO655" s="84"/>
      <c r="BT655" s="84"/>
      <c r="BY655" s="84"/>
      <c r="CD655" s="84"/>
      <c r="CI655" s="128"/>
      <c r="CJ655" s="129"/>
      <c r="CL655" s="132"/>
      <c r="CM655" s="128"/>
      <c r="CN655" s="129"/>
      <c r="CP655" s="132"/>
      <c r="CQ655" s="128"/>
      <c r="CR655" s="129"/>
      <c r="CT655" s="132"/>
      <c r="CU655" s="128"/>
      <c r="CV655" s="129"/>
      <c r="CX655" s="132"/>
      <c r="CY655" s="128"/>
      <c r="CZ655" s="129"/>
      <c r="DB655" s="132"/>
      <c r="DC655" s="128"/>
      <c r="DD655" s="129"/>
      <c r="DF655" s="132"/>
      <c r="DG655" s="85"/>
      <c r="DH655" s="85"/>
      <c r="DI655" s="84"/>
      <c r="DK655" s="84"/>
      <c r="DP655" s="84"/>
      <c r="DU655" s="84"/>
      <c r="DY655" s="84"/>
      <c r="EC655" s="84"/>
      <c r="EG655" s="84"/>
      <c r="EK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128"/>
      <c r="AA656" s="129"/>
      <c r="AC656" s="130"/>
      <c r="AD656" s="128"/>
      <c r="AE656" s="129"/>
      <c r="AG656" s="130"/>
      <c r="AH656" s="128"/>
      <c r="AI656" s="129"/>
      <c r="AK656" s="130"/>
      <c r="AL656" s="128"/>
      <c r="AM656" s="129"/>
      <c r="AO656" s="130"/>
      <c r="AP656" s="128"/>
      <c r="AQ656" s="129"/>
      <c r="AS656" s="130"/>
      <c r="AT656" s="128"/>
      <c r="AU656" s="129"/>
      <c r="AW656" s="130"/>
      <c r="AX656" s="85"/>
      <c r="AY656" s="84"/>
      <c r="AZ656" s="84"/>
      <c r="BA656" s="131"/>
      <c r="BB656" s="84"/>
      <c r="BE656" s="84"/>
      <c r="BI656" s="86"/>
      <c r="BO656" s="84"/>
      <c r="BT656" s="84"/>
      <c r="BY656" s="84"/>
      <c r="CD656" s="84"/>
      <c r="CI656" s="128"/>
      <c r="CJ656" s="129"/>
      <c r="CL656" s="132"/>
      <c r="CM656" s="128"/>
      <c r="CN656" s="129"/>
      <c r="CP656" s="132"/>
      <c r="CQ656" s="128"/>
      <c r="CR656" s="129"/>
      <c r="CT656" s="132"/>
      <c r="CU656" s="128"/>
      <c r="CV656" s="129"/>
      <c r="CX656" s="132"/>
      <c r="CY656" s="128"/>
      <c r="CZ656" s="129"/>
      <c r="DB656" s="132"/>
      <c r="DC656" s="128"/>
      <c r="DD656" s="129"/>
      <c r="DF656" s="132"/>
      <c r="DG656" s="85"/>
      <c r="DH656" s="85"/>
      <c r="DI656" s="84"/>
      <c r="DK656" s="84"/>
      <c r="DP656" s="84"/>
      <c r="DU656" s="84"/>
      <c r="DY656" s="84"/>
      <c r="EC656" s="84"/>
      <c r="EG656" s="84"/>
      <c r="EK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128"/>
      <c r="AA657" s="129"/>
      <c r="AC657" s="130"/>
      <c r="AD657" s="128"/>
      <c r="AE657" s="129"/>
      <c r="AG657" s="130"/>
      <c r="AH657" s="128"/>
      <c r="AI657" s="129"/>
      <c r="AK657" s="130"/>
      <c r="AL657" s="128"/>
      <c r="AM657" s="129"/>
      <c r="AO657" s="130"/>
      <c r="AP657" s="128"/>
      <c r="AQ657" s="129"/>
      <c r="AS657" s="130"/>
      <c r="AT657" s="128"/>
      <c r="AU657" s="129"/>
      <c r="AW657" s="130"/>
      <c r="AX657" s="85"/>
      <c r="AY657" s="84"/>
      <c r="AZ657" s="84"/>
      <c r="BA657" s="131"/>
      <c r="BB657" s="84"/>
      <c r="BE657" s="84"/>
      <c r="BI657" s="86"/>
      <c r="BO657" s="84"/>
      <c r="BT657" s="84"/>
      <c r="BY657" s="84"/>
      <c r="CD657" s="84"/>
      <c r="CI657" s="128"/>
      <c r="CJ657" s="129"/>
      <c r="CL657" s="132"/>
      <c r="CM657" s="128"/>
      <c r="CN657" s="129"/>
      <c r="CP657" s="132"/>
      <c r="CQ657" s="128"/>
      <c r="CR657" s="129"/>
      <c r="CT657" s="132"/>
      <c r="CU657" s="128"/>
      <c r="CV657" s="129"/>
      <c r="CX657" s="132"/>
      <c r="CY657" s="128"/>
      <c r="CZ657" s="129"/>
      <c r="DB657" s="132"/>
      <c r="DC657" s="128"/>
      <c r="DD657" s="129"/>
      <c r="DF657" s="132"/>
      <c r="DG657" s="85"/>
      <c r="DH657" s="85"/>
      <c r="DI657" s="84"/>
      <c r="DK657" s="84"/>
      <c r="DP657" s="84"/>
      <c r="DU657" s="84"/>
      <c r="DY657" s="84"/>
      <c r="EC657" s="84"/>
      <c r="EG657" s="84"/>
      <c r="EK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128"/>
      <c r="AA658" s="129"/>
      <c r="AC658" s="130"/>
      <c r="AD658" s="128"/>
      <c r="AE658" s="129"/>
      <c r="AG658" s="130"/>
      <c r="AH658" s="128"/>
      <c r="AI658" s="129"/>
      <c r="AK658" s="130"/>
      <c r="AL658" s="128"/>
      <c r="AM658" s="129"/>
      <c r="AO658" s="130"/>
      <c r="AP658" s="128"/>
      <c r="AQ658" s="129"/>
      <c r="AS658" s="130"/>
      <c r="AT658" s="128"/>
      <c r="AU658" s="129"/>
      <c r="AW658" s="130"/>
      <c r="AX658" s="85"/>
      <c r="AY658" s="84"/>
      <c r="AZ658" s="84"/>
      <c r="BA658" s="131"/>
      <c r="BB658" s="84"/>
      <c r="BE658" s="84"/>
      <c r="BI658" s="86"/>
      <c r="BO658" s="84"/>
      <c r="BT658" s="84"/>
      <c r="BY658" s="84"/>
      <c r="CD658" s="84"/>
      <c r="CI658" s="128"/>
      <c r="CJ658" s="129"/>
      <c r="CL658" s="132"/>
      <c r="CM658" s="128"/>
      <c r="CN658" s="129"/>
      <c r="CP658" s="132"/>
      <c r="CQ658" s="128"/>
      <c r="CR658" s="129"/>
      <c r="CT658" s="132"/>
      <c r="CU658" s="128"/>
      <c r="CV658" s="129"/>
      <c r="CX658" s="132"/>
      <c r="CY658" s="128"/>
      <c r="CZ658" s="129"/>
      <c r="DB658" s="132"/>
      <c r="DC658" s="128"/>
      <c r="DD658" s="129"/>
      <c r="DF658" s="132"/>
      <c r="DG658" s="85"/>
      <c r="DH658" s="85"/>
      <c r="DI658" s="84"/>
      <c r="DK658" s="84"/>
      <c r="DP658" s="84"/>
      <c r="DU658" s="84"/>
      <c r="DY658" s="84"/>
      <c r="EC658" s="84"/>
      <c r="EG658" s="84"/>
      <c r="EK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128"/>
      <c r="AA659" s="129"/>
      <c r="AC659" s="130"/>
      <c r="AD659" s="128"/>
      <c r="AE659" s="129"/>
      <c r="AG659" s="130"/>
      <c r="AH659" s="128"/>
      <c r="AI659" s="129"/>
      <c r="AK659" s="130"/>
      <c r="AL659" s="128"/>
      <c r="AM659" s="129"/>
      <c r="AO659" s="130"/>
      <c r="AP659" s="128"/>
      <c r="AQ659" s="129"/>
      <c r="AS659" s="130"/>
      <c r="AT659" s="128"/>
      <c r="AU659" s="129"/>
      <c r="AW659" s="130"/>
      <c r="AX659" s="85"/>
      <c r="AY659" s="84"/>
      <c r="AZ659" s="84"/>
      <c r="BA659" s="131"/>
      <c r="BB659" s="84"/>
      <c r="BE659" s="84"/>
      <c r="BI659" s="86"/>
      <c r="BO659" s="84"/>
      <c r="BT659" s="84"/>
      <c r="BY659" s="84"/>
      <c r="CD659" s="84"/>
      <c r="CI659" s="128"/>
      <c r="CJ659" s="129"/>
      <c r="CL659" s="132"/>
      <c r="CM659" s="128"/>
      <c r="CN659" s="129"/>
      <c r="CP659" s="132"/>
      <c r="CQ659" s="128"/>
      <c r="CR659" s="129"/>
      <c r="CT659" s="132"/>
      <c r="CU659" s="128"/>
      <c r="CV659" s="129"/>
      <c r="CX659" s="132"/>
      <c r="CY659" s="128"/>
      <c r="CZ659" s="129"/>
      <c r="DB659" s="132"/>
      <c r="DC659" s="128"/>
      <c r="DD659" s="129"/>
      <c r="DF659" s="132"/>
      <c r="DG659" s="85"/>
      <c r="DH659" s="85"/>
      <c r="DI659" s="84"/>
      <c r="DK659" s="84"/>
      <c r="DP659" s="84"/>
      <c r="DU659" s="84"/>
      <c r="DY659" s="84"/>
      <c r="EC659" s="84"/>
      <c r="EG659" s="84"/>
      <c r="EK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128"/>
      <c r="AA660" s="129"/>
      <c r="AC660" s="130"/>
      <c r="AD660" s="128"/>
      <c r="AE660" s="129"/>
      <c r="AG660" s="130"/>
      <c r="AH660" s="128"/>
      <c r="AI660" s="129"/>
      <c r="AK660" s="130"/>
      <c r="AL660" s="128"/>
      <c r="AM660" s="129"/>
      <c r="AO660" s="130"/>
      <c r="AP660" s="128"/>
      <c r="AQ660" s="129"/>
      <c r="AS660" s="130"/>
      <c r="AT660" s="128"/>
      <c r="AU660" s="129"/>
      <c r="AW660" s="130"/>
      <c r="AX660" s="85"/>
      <c r="AY660" s="84"/>
      <c r="AZ660" s="84"/>
      <c r="BA660" s="131"/>
      <c r="BB660" s="84"/>
      <c r="BE660" s="84"/>
      <c r="BI660" s="86"/>
      <c r="BO660" s="84"/>
      <c r="BT660" s="84"/>
      <c r="BY660" s="84"/>
      <c r="CD660" s="84"/>
      <c r="CI660" s="128"/>
      <c r="CJ660" s="129"/>
      <c r="CL660" s="132"/>
      <c r="CM660" s="128"/>
      <c r="CN660" s="129"/>
      <c r="CP660" s="132"/>
      <c r="CQ660" s="128"/>
      <c r="CR660" s="129"/>
      <c r="CT660" s="132"/>
      <c r="CU660" s="128"/>
      <c r="CV660" s="129"/>
      <c r="CX660" s="132"/>
      <c r="CY660" s="128"/>
      <c r="CZ660" s="129"/>
      <c r="DB660" s="132"/>
      <c r="DC660" s="128"/>
      <c r="DD660" s="129"/>
      <c r="DF660" s="132"/>
      <c r="DG660" s="85"/>
      <c r="DH660" s="85"/>
      <c r="DI660" s="84"/>
      <c r="DK660" s="84"/>
      <c r="DP660" s="84"/>
      <c r="DU660" s="84"/>
      <c r="DY660" s="84"/>
      <c r="EC660" s="84"/>
      <c r="EG660" s="84"/>
      <c r="EK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128"/>
      <c r="AA661" s="129"/>
      <c r="AC661" s="130"/>
      <c r="AD661" s="128"/>
      <c r="AE661" s="129"/>
      <c r="AG661" s="130"/>
      <c r="AH661" s="128"/>
      <c r="AI661" s="129"/>
      <c r="AK661" s="130"/>
      <c r="AL661" s="128"/>
      <c r="AM661" s="129"/>
      <c r="AO661" s="130"/>
      <c r="AP661" s="128"/>
      <c r="AQ661" s="129"/>
      <c r="AS661" s="130"/>
      <c r="AT661" s="128"/>
      <c r="AU661" s="129"/>
      <c r="AW661" s="130"/>
      <c r="AX661" s="85"/>
      <c r="AY661" s="84"/>
      <c r="AZ661" s="84"/>
      <c r="BA661" s="131"/>
      <c r="BB661" s="84"/>
      <c r="BE661" s="84"/>
      <c r="BI661" s="86"/>
      <c r="BO661" s="84"/>
      <c r="BT661" s="84"/>
      <c r="BY661" s="84"/>
      <c r="CD661" s="84"/>
      <c r="CI661" s="128"/>
      <c r="CJ661" s="129"/>
      <c r="CL661" s="132"/>
      <c r="CM661" s="128"/>
      <c r="CN661" s="129"/>
      <c r="CP661" s="132"/>
      <c r="CQ661" s="128"/>
      <c r="CR661" s="129"/>
      <c r="CT661" s="132"/>
      <c r="CU661" s="128"/>
      <c r="CV661" s="129"/>
      <c r="CX661" s="132"/>
      <c r="CY661" s="128"/>
      <c r="CZ661" s="129"/>
      <c r="DB661" s="132"/>
      <c r="DC661" s="128"/>
      <c r="DD661" s="129"/>
      <c r="DF661" s="132"/>
      <c r="DG661" s="85"/>
      <c r="DH661" s="85"/>
      <c r="DI661" s="84"/>
      <c r="DK661" s="84"/>
      <c r="DP661" s="84"/>
      <c r="DU661" s="84"/>
      <c r="DY661" s="84"/>
      <c r="EC661" s="84"/>
      <c r="EG661" s="84"/>
      <c r="EK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128"/>
      <c r="AA662" s="129"/>
      <c r="AC662" s="130"/>
      <c r="AD662" s="128"/>
      <c r="AE662" s="129"/>
      <c r="AG662" s="130"/>
      <c r="AH662" s="128"/>
      <c r="AI662" s="129"/>
      <c r="AK662" s="130"/>
      <c r="AL662" s="128"/>
      <c r="AM662" s="129"/>
      <c r="AO662" s="130"/>
      <c r="AP662" s="128"/>
      <c r="AQ662" s="129"/>
      <c r="AS662" s="130"/>
      <c r="AT662" s="128"/>
      <c r="AU662" s="129"/>
      <c r="AW662" s="130"/>
      <c r="AX662" s="85"/>
      <c r="AY662" s="84"/>
      <c r="AZ662" s="84"/>
      <c r="BA662" s="131"/>
      <c r="BB662" s="84"/>
      <c r="BE662" s="84"/>
      <c r="BI662" s="86"/>
      <c r="BO662" s="84"/>
      <c r="BT662" s="84"/>
      <c r="BY662" s="84"/>
      <c r="CD662" s="84"/>
      <c r="CI662" s="128"/>
      <c r="CJ662" s="129"/>
      <c r="CL662" s="132"/>
      <c r="CM662" s="128"/>
      <c r="CN662" s="129"/>
      <c r="CP662" s="132"/>
      <c r="CQ662" s="128"/>
      <c r="CR662" s="129"/>
      <c r="CT662" s="132"/>
      <c r="CU662" s="128"/>
      <c r="CV662" s="129"/>
      <c r="CX662" s="132"/>
      <c r="CY662" s="128"/>
      <c r="CZ662" s="129"/>
      <c r="DB662" s="132"/>
      <c r="DC662" s="128"/>
      <c r="DD662" s="129"/>
      <c r="DF662" s="132"/>
      <c r="DG662" s="85"/>
      <c r="DH662" s="85"/>
      <c r="DI662" s="84"/>
      <c r="DK662" s="84"/>
      <c r="DP662" s="84"/>
      <c r="DU662" s="84"/>
      <c r="DY662" s="84"/>
      <c r="EC662" s="84"/>
      <c r="EG662" s="84"/>
      <c r="EK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128"/>
      <c r="AA663" s="129"/>
      <c r="AC663" s="130"/>
      <c r="AD663" s="128"/>
      <c r="AE663" s="129"/>
      <c r="AG663" s="130"/>
      <c r="AH663" s="128"/>
      <c r="AI663" s="129"/>
      <c r="AK663" s="130"/>
      <c r="AL663" s="128"/>
      <c r="AM663" s="129"/>
      <c r="AO663" s="130"/>
      <c r="AP663" s="128"/>
      <c r="AQ663" s="129"/>
      <c r="AS663" s="130"/>
      <c r="AT663" s="128"/>
      <c r="AU663" s="129"/>
      <c r="AW663" s="130"/>
      <c r="AX663" s="85"/>
      <c r="AY663" s="84"/>
      <c r="AZ663" s="84"/>
      <c r="BA663" s="131"/>
      <c r="BB663" s="84"/>
      <c r="BE663" s="84"/>
      <c r="BI663" s="86"/>
      <c r="BO663" s="84"/>
      <c r="BT663" s="84"/>
      <c r="BY663" s="84"/>
      <c r="CD663" s="84"/>
      <c r="CI663" s="128"/>
      <c r="CJ663" s="129"/>
      <c r="CL663" s="132"/>
      <c r="CM663" s="128"/>
      <c r="CN663" s="129"/>
      <c r="CP663" s="132"/>
      <c r="CQ663" s="128"/>
      <c r="CR663" s="129"/>
      <c r="CT663" s="132"/>
      <c r="CU663" s="128"/>
      <c r="CV663" s="129"/>
      <c r="CX663" s="132"/>
      <c r="CY663" s="128"/>
      <c r="CZ663" s="129"/>
      <c r="DB663" s="132"/>
      <c r="DC663" s="128"/>
      <c r="DD663" s="129"/>
      <c r="DF663" s="132"/>
      <c r="DG663" s="85"/>
      <c r="DH663" s="85"/>
      <c r="DI663" s="84"/>
      <c r="DK663" s="84"/>
      <c r="DP663" s="84"/>
      <c r="DU663" s="84"/>
      <c r="DY663" s="84"/>
      <c r="EC663" s="84"/>
      <c r="EG663" s="84"/>
      <c r="EK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128"/>
      <c r="AA664" s="129"/>
      <c r="AC664" s="130"/>
      <c r="AD664" s="128"/>
      <c r="AE664" s="129"/>
      <c r="AG664" s="130"/>
      <c r="AH664" s="128"/>
      <c r="AI664" s="129"/>
      <c r="AK664" s="130"/>
      <c r="AL664" s="128"/>
      <c r="AM664" s="129"/>
      <c r="AO664" s="130"/>
      <c r="AP664" s="128"/>
      <c r="AQ664" s="129"/>
      <c r="AS664" s="130"/>
      <c r="AT664" s="128"/>
      <c r="AU664" s="129"/>
      <c r="AW664" s="130"/>
      <c r="AX664" s="85"/>
      <c r="AY664" s="84"/>
      <c r="AZ664" s="84"/>
      <c r="BA664" s="131"/>
      <c r="BB664" s="84"/>
      <c r="BE664" s="84"/>
      <c r="BI664" s="86"/>
      <c r="BO664" s="84"/>
      <c r="BT664" s="84"/>
      <c r="BY664" s="84"/>
      <c r="CD664" s="84"/>
      <c r="CI664" s="128"/>
      <c r="CJ664" s="129"/>
      <c r="CL664" s="132"/>
      <c r="CM664" s="128"/>
      <c r="CN664" s="129"/>
      <c r="CP664" s="132"/>
      <c r="CQ664" s="128"/>
      <c r="CR664" s="129"/>
      <c r="CT664" s="132"/>
      <c r="CU664" s="128"/>
      <c r="CV664" s="129"/>
      <c r="CX664" s="132"/>
      <c r="CY664" s="128"/>
      <c r="CZ664" s="129"/>
      <c r="DB664" s="132"/>
      <c r="DC664" s="128"/>
      <c r="DD664" s="129"/>
      <c r="DF664" s="132"/>
      <c r="DG664" s="85"/>
      <c r="DH664" s="85"/>
      <c r="DI664" s="84"/>
      <c r="DK664" s="84"/>
      <c r="DP664" s="84"/>
      <c r="DU664" s="84"/>
      <c r="DY664" s="84"/>
      <c r="EC664" s="84"/>
      <c r="EG664" s="84"/>
      <c r="EK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128"/>
      <c r="AA665" s="129"/>
      <c r="AC665" s="130"/>
      <c r="AD665" s="128"/>
      <c r="AE665" s="129"/>
      <c r="AG665" s="130"/>
      <c r="AH665" s="128"/>
      <c r="AI665" s="129"/>
      <c r="AK665" s="130"/>
      <c r="AL665" s="128"/>
      <c r="AM665" s="129"/>
      <c r="AO665" s="130"/>
      <c r="AP665" s="128"/>
      <c r="AQ665" s="129"/>
      <c r="AS665" s="130"/>
      <c r="AT665" s="128"/>
      <c r="AU665" s="129"/>
      <c r="AW665" s="130"/>
      <c r="AX665" s="85"/>
      <c r="AY665" s="84"/>
      <c r="AZ665" s="84"/>
      <c r="BA665" s="131"/>
      <c r="BB665" s="84"/>
      <c r="BE665" s="84"/>
      <c r="BI665" s="86"/>
      <c r="BO665" s="84"/>
      <c r="BT665" s="84"/>
      <c r="BY665" s="84"/>
      <c r="CD665" s="84"/>
      <c r="CI665" s="128"/>
      <c r="CJ665" s="129"/>
      <c r="CL665" s="132"/>
      <c r="CM665" s="128"/>
      <c r="CN665" s="129"/>
      <c r="CP665" s="132"/>
      <c r="CQ665" s="128"/>
      <c r="CR665" s="129"/>
      <c r="CT665" s="132"/>
      <c r="CU665" s="128"/>
      <c r="CV665" s="129"/>
      <c r="CX665" s="132"/>
      <c r="CY665" s="128"/>
      <c r="CZ665" s="129"/>
      <c r="DB665" s="132"/>
      <c r="DC665" s="128"/>
      <c r="DD665" s="129"/>
      <c r="DF665" s="132"/>
      <c r="DG665" s="85"/>
      <c r="DH665" s="85"/>
      <c r="DI665" s="84"/>
      <c r="DK665" s="84"/>
      <c r="DP665" s="84"/>
      <c r="DU665" s="84"/>
      <c r="DY665" s="84"/>
      <c r="EC665" s="84"/>
      <c r="EG665" s="84"/>
      <c r="EK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128"/>
      <c r="AA666" s="129"/>
      <c r="AC666" s="130"/>
      <c r="AD666" s="128"/>
      <c r="AE666" s="129"/>
      <c r="AG666" s="130"/>
      <c r="AH666" s="128"/>
      <c r="AI666" s="129"/>
      <c r="AK666" s="130"/>
      <c r="AL666" s="128"/>
      <c r="AM666" s="129"/>
      <c r="AO666" s="130"/>
      <c r="AP666" s="128"/>
      <c r="AQ666" s="129"/>
      <c r="AS666" s="130"/>
      <c r="AT666" s="128"/>
      <c r="AU666" s="129"/>
      <c r="AW666" s="130"/>
      <c r="AX666" s="85"/>
      <c r="AY666" s="84"/>
      <c r="AZ666" s="84"/>
      <c r="BA666" s="131"/>
      <c r="BB666" s="84"/>
      <c r="BE666" s="84"/>
      <c r="BI666" s="86"/>
      <c r="BO666" s="84"/>
      <c r="BT666" s="84"/>
      <c r="BY666" s="84"/>
      <c r="CD666" s="84"/>
      <c r="CI666" s="128"/>
      <c r="CJ666" s="129"/>
      <c r="CL666" s="132"/>
      <c r="CM666" s="128"/>
      <c r="CN666" s="129"/>
      <c r="CP666" s="132"/>
      <c r="CQ666" s="128"/>
      <c r="CR666" s="129"/>
      <c r="CT666" s="132"/>
      <c r="CU666" s="128"/>
      <c r="CV666" s="129"/>
      <c r="CX666" s="132"/>
      <c r="CY666" s="128"/>
      <c r="CZ666" s="129"/>
      <c r="DB666" s="132"/>
      <c r="DC666" s="128"/>
      <c r="DD666" s="129"/>
      <c r="DF666" s="132"/>
      <c r="DG666" s="85"/>
      <c r="DH666" s="85"/>
      <c r="DI666" s="84"/>
      <c r="DK666" s="84"/>
      <c r="DP666" s="84"/>
      <c r="DU666" s="84"/>
      <c r="DY666" s="84"/>
      <c r="EC666" s="84"/>
      <c r="EG666" s="84"/>
      <c r="EK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128"/>
      <c r="AA667" s="129"/>
      <c r="AC667" s="130"/>
      <c r="AD667" s="128"/>
      <c r="AE667" s="129"/>
      <c r="AG667" s="130"/>
      <c r="AH667" s="128"/>
      <c r="AI667" s="129"/>
      <c r="AK667" s="130"/>
      <c r="AL667" s="128"/>
      <c r="AM667" s="129"/>
      <c r="AO667" s="130"/>
      <c r="AP667" s="128"/>
      <c r="AQ667" s="129"/>
      <c r="AS667" s="130"/>
      <c r="AT667" s="128"/>
      <c r="AU667" s="129"/>
      <c r="AW667" s="130"/>
      <c r="AX667" s="85"/>
      <c r="AY667" s="84"/>
      <c r="AZ667" s="84"/>
      <c r="BA667" s="131"/>
      <c r="BB667" s="84"/>
      <c r="BE667" s="84"/>
      <c r="BI667" s="86"/>
      <c r="BO667" s="84"/>
      <c r="BT667" s="84"/>
      <c r="BY667" s="84"/>
      <c r="CD667" s="84"/>
      <c r="CI667" s="128"/>
      <c r="CJ667" s="129"/>
      <c r="CL667" s="132"/>
      <c r="CM667" s="128"/>
      <c r="CN667" s="129"/>
      <c r="CP667" s="132"/>
      <c r="CQ667" s="128"/>
      <c r="CR667" s="129"/>
      <c r="CT667" s="132"/>
      <c r="CU667" s="128"/>
      <c r="CV667" s="129"/>
      <c r="CX667" s="132"/>
      <c r="CY667" s="128"/>
      <c r="CZ667" s="129"/>
      <c r="DB667" s="132"/>
      <c r="DC667" s="128"/>
      <c r="DD667" s="129"/>
      <c r="DF667" s="132"/>
      <c r="DG667" s="85"/>
      <c r="DH667" s="85"/>
      <c r="DI667" s="84"/>
      <c r="DK667" s="84"/>
      <c r="DP667" s="84"/>
      <c r="DU667" s="84"/>
      <c r="DY667" s="84"/>
      <c r="EC667" s="84"/>
      <c r="EG667" s="84"/>
      <c r="EK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128"/>
      <c r="AA668" s="129"/>
      <c r="AC668" s="130"/>
      <c r="AD668" s="128"/>
      <c r="AE668" s="129"/>
      <c r="AG668" s="130"/>
      <c r="AH668" s="128"/>
      <c r="AI668" s="129"/>
      <c r="AK668" s="130"/>
      <c r="AL668" s="128"/>
      <c r="AM668" s="129"/>
      <c r="AO668" s="130"/>
      <c r="AP668" s="128"/>
      <c r="AQ668" s="129"/>
      <c r="AS668" s="130"/>
      <c r="AT668" s="128"/>
      <c r="AU668" s="129"/>
      <c r="AW668" s="130"/>
      <c r="AX668" s="85"/>
      <c r="AY668" s="84"/>
      <c r="AZ668" s="84"/>
      <c r="BA668" s="131"/>
      <c r="BB668" s="84"/>
      <c r="BE668" s="84"/>
      <c r="BI668" s="86"/>
      <c r="BO668" s="84"/>
      <c r="BT668" s="84"/>
      <c r="BY668" s="84"/>
      <c r="CD668" s="84"/>
      <c r="CI668" s="128"/>
      <c r="CJ668" s="129"/>
      <c r="CL668" s="132"/>
      <c r="CM668" s="128"/>
      <c r="CN668" s="129"/>
      <c r="CP668" s="132"/>
      <c r="CQ668" s="128"/>
      <c r="CR668" s="129"/>
      <c r="CT668" s="132"/>
      <c r="CU668" s="128"/>
      <c r="CV668" s="129"/>
      <c r="CX668" s="132"/>
      <c r="CY668" s="128"/>
      <c r="CZ668" s="129"/>
      <c r="DB668" s="132"/>
      <c r="DC668" s="128"/>
      <c r="DD668" s="129"/>
      <c r="DF668" s="132"/>
      <c r="DG668" s="85"/>
      <c r="DH668" s="85"/>
      <c r="DI668" s="84"/>
      <c r="DK668" s="84"/>
      <c r="DP668" s="84"/>
      <c r="DU668" s="84"/>
      <c r="DY668" s="84"/>
      <c r="EC668" s="84"/>
      <c r="EG668" s="84"/>
      <c r="EK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128"/>
      <c r="AA669" s="129"/>
      <c r="AC669" s="130"/>
      <c r="AD669" s="128"/>
      <c r="AE669" s="129"/>
      <c r="AG669" s="130"/>
      <c r="AH669" s="128"/>
      <c r="AI669" s="129"/>
      <c r="AK669" s="130"/>
      <c r="AL669" s="128"/>
      <c r="AM669" s="129"/>
      <c r="AO669" s="130"/>
      <c r="AP669" s="128"/>
      <c r="AQ669" s="129"/>
      <c r="AS669" s="130"/>
      <c r="AT669" s="128"/>
      <c r="AU669" s="129"/>
      <c r="AW669" s="130"/>
      <c r="AX669" s="85"/>
      <c r="AY669" s="84"/>
      <c r="AZ669" s="84"/>
      <c r="BA669" s="131"/>
      <c r="BB669" s="84"/>
      <c r="BE669" s="84"/>
      <c r="BI669" s="86"/>
      <c r="BO669" s="84"/>
      <c r="BT669" s="84"/>
      <c r="BY669" s="84"/>
      <c r="CD669" s="84"/>
      <c r="CI669" s="128"/>
      <c r="CJ669" s="129"/>
      <c r="CL669" s="132"/>
      <c r="CM669" s="128"/>
      <c r="CN669" s="129"/>
      <c r="CP669" s="132"/>
      <c r="CQ669" s="128"/>
      <c r="CR669" s="129"/>
      <c r="CT669" s="132"/>
      <c r="CU669" s="128"/>
      <c r="CV669" s="129"/>
      <c r="CX669" s="132"/>
      <c r="CY669" s="128"/>
      <c r="CZ669" s="129"/>
      <c r="DB669" s="132"/>
      <c r="DC669" s="128"/>
      <c r="DD669" s="129"/>
      <c r="DF669" s="132"/>
      <c r="DG669" s="85"/>
      <c r="DH669" s="85"/>
      <c r="DI669" s="84"/>
      <c r="DK669" s="84"/>
      <c r="DP669" s="84"/>
      <c r="DU669" s="84"/>
      <c r="DY669" s="84"/>
      <c r="EC669" s="84"/>
      <c r="EG669" s="84"/>
      <c r="EK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128"/>
      <c r="AA670" s="129"/>
      <c r="AC670" s="130"/>
      <c r="AD670" s="128"/>
      <c r="AE670" s="129"/>
      <c r="AG670" s="130"/>
      <c r="AH670" s="128"/>
      <c r="AI670" s="129"/>
      <c r="AK670" s="130"/>
      <c r="AL670" s="128"/>
      <c r="AM670" s="129"/>
      <c r="AO670" s="130"/>
      <c r="AP670" s="128"/>
      <c r="AQ670" s="129"/>
      <c r="AS670" s="130"/>
      <c r="AT670" s="128"/>
      <c r="AU670" s="129"/>
      <c r="AW670" s="130"/>
      <c r="AX670" s="85"/>
      <c r="AY670" s="84"/>
      <c r="AZ670" s="84"/>
      <c r="BA670" s="131"/>
      <c r="BB670" s="84"/>
      <c r="BE670" s="84"/>
      <c r="BI670" s="86"/>
      <c r="BO670" s="84"/>
      <c r="BT670" s="84"/>
      <c r="BY670" s="84"/>
      <c r="CD670" s="84"/>
      <c r="CI670" s="128"/>
      <c r="CJ670" s="129"/>
      <c r="CL670" s="132"/>
      <c r="CM670" s="128"/>
      <c r="CN670" s="129"/>
      <c r="CP670" s="132"/>
      <c r="CQ670" s="128"/>
      <c r="CR670" s="129"/>
      <c r="CT670" s="132"/>
      <c r="CU670" s="128"/>
      <c r="CV670" s="129"/>
      <c r="CX670" s="132"/>
      <c r="CY670" s="128"/>
      <c r="CZ670" s="129"/>
      <c r="DB670" s="132"/>
      <c r="DC670" s="128"/>
      <c r="DD670" s="129"/>
      <c r="DF670" s="132"/>
      <c r="DG670" s="85"/>
      <c r="DH670" s="85"/>
      <c r="DI670" s="84"/>
      <c r="DK670" s="84"/>
      <c r="DP670" s="84"/>
      <c r="DU670" s="84"/>
      <c r="DY670" s="84"/>
      <c r="EC670" s="84"/>
      <c r="EG670" s="84"/>
      <c r="EK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128"/>
      <c r="AA671" s="129"/>
      <c r="AC671" s="130"/>
      <c r="AD671" s="128"/>
      <c r="AE671" s="129"/>
      <c r="AG671" s="130"/>
      <c r="AH671" s="128"/>
      <c r="AI671" s="129"/>
      <c r="AK671" s="130"/>
      <c r="AL671" s="128"/>
      <c r="AM671" s="129"/>
      <c r="AO671" s="130"/>
      <c r="AP671" s="128"/>
      <c r="AQ671" s="129"/>
      <c r="AS671" s="130"/>
      <c r="AT671" s="128"/>
      <c r="AU671" s="129"/>
      <c r="AW671" s="130"/>
      <c r="AX671" s="85"/>
      <c r="AY671" s="84"/>
      <c r="AZ671" s="84"/>
      <c r="BA671" s="131"/>
      <c r="BB671" s="84"/>
      <c r="BE671" s="84"/>
      <c r="BI671" s="86"/>
      <c r="BO671" s="84"/>
      <c r="BT671" s="84"/>
      <c r="BY671" s="84"/>
      <c r="CD671" s="84"/>
      <c r="CI671" s="128"/>
      <c r="CJ671" s="129"/>
      <c r="CL671" s="132"/>
      <c r="CM671" s="128"/>
      <c r="CN671" s="129"/>
      <c r="CP671" s="132"/>
      <c r="CQ671" s="128"/>
      <c r="CR671" s="129"/>
      <c r="CT671" s="132"/>
      <c r="CU671" s="128"/>
      <c r="CV671" s="129"/>
      <c r="CX671" s="132"/>
      <c r="CY671" s="128"/>
      <c r="CZ671" s="129"/>
      <c r="DB671" s="132"/>
      <c r="DC671" s="128"/>
      <c r="DD671" s="129"/>
      <c r="DF671" s="132"/>
      <c r="DG671" s="85"/>
      <c r="DH671" s="85"/>
      <c r="DI671" s="84"/>
      <c r="DK671" s="84"/>
      <c r="DP671" s="84"/>
      <c r="DU671" s="84"/>
      <c r="DY671" s="84"/>
      <c r="EC671" s="84"/>
      <c r="EG671" s="84"/>
      <c r="EK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128"/>
      <c r="AA672" s="129"/>
      <c r="AC672" s="130"/>
      <c r="AD672" s="128"/>
      <c r="AE672" s="129"/>
      <c r="AG672" s="130"/>
      <c r="AH672" s="128"/>
      <c r="AI672" s="129"/>
      <c r="AK672" s="130"/>
      <c r="AL672" s="128"/>
      <c r="AM672" s="129"/>
      <c r="AO672" s="130"/>
      <c r="AP672" s="128"/>
      <c r="AQ672" s="129"/>
      <c r="AS672" s="130"/>
      <c r="AT672" s="128"/>
      <c r="AU672" s="129"/>
      <c r="AW672" s="130"/>
      <c r="AX672" s="85"/>
      <c r="AY672" s="84"/>
      <c r="AZ672" s="84"/>
      <c r="BA672" s="131"/>
      <c r="BB672" s="84"/>
      <c r="BE672" s="84"/>
      <c r="BI672" s="86"/>
      <c r="BO672" s="84"/>
      <c r="BT672" s="84"/>
      <c r="BY672" s="84"/>
      <c r="CD672" s="84"/>
      <c r="CI672" s="128"/>
      <c r="CJ672" s="129"/>
      <c r="CL672" s="132"/>
      <c r="CM672" s="128"/>
      <c r="CN672" s="129"/>
      <c r="CP672" s="132"/>
      <c r="CQ672" s="128"/>
      <c r="CR672" s="129"/>
      <c r="CT672" s="132"/>
      <c r="CU672" s="128"/>
      <c r="CV672" s="129"/>
      <c r="CX672" s="132"/>
      <c r="CY672" s="128"/>
      <c r="CZ672" s="129"/>
      <c r="DB672" s="132"/>
      <c r="DC672" s="128"/>
      <c r="DD672" s="129"/>
      <c r="DF672" s="132"/>
      <c r="DG672" s="85"/>
      <c r="DH672" s="85"/>
      <c r="DI672" s="84"/>
      <c r="DK672" s="84"/>
      <c r="DP672" s="84"/>
      <c r="DU672" s="84"/>
      <c r="DY672" s="84"/>
      <c r="EC672" s="84"/>
      <c r="EG672" s="84"/>
      <c r="EK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128"/>
      <c r="AA673" s="129"/>
      <c r="AC673" s="130"/>
      <c r="AD673" s="128"/>
      <c r="AE673" s="129"/>
      <c r="AG673" s="130"/>
      <c r="AH673" s="128"/>
      <c r="AI673" s="129"/>
      <c r="AK673" s="130"/>
      <c r="AL673" s="128"/>
      <c r="AM673" s="129"/>
      <c r="AO673" s="130"/>
      <c r="AP673" s="128"/>
      <c r="AQ673" s="129"/>
      <c r="AS673" s="130"/>
      <c r="AT673" s="128"/>
      <c r="AU673" s="129"/>
      <c r="AW673" s="130"/>
      <c r="AX673" s="85"/>
      <c r="AY673" s="84"/>
      <c r="AZ673" s="84"/>
      <c r="BA673" s="131"/>
      <c r="BB673" s="84"/>
      <c r="BE673" s="84"/>
      <c r="BI673" s="86"/>
      <c r="BO673" s="84"/>
      <c r="BT673" s="84"/>
      <c r="BY673" s="84"/>
      <c r="CD673" s="84"/>
      <c r="CI673" s="128"/>
      <c r="CJ673" s="129"/>
      <c r="CL673" s="132"/>
      <c r="CM673" s="128"/>
      <c r="CN673" s="129"/>
      <c r="CP673" s="132"/>
      <c r="CQ673" s="128"/>
      <c r="CR673" s="129"/>
      <c r="CT673" s="132"/>
      <c r="CU673" s="128"/>
      <c r="CV673" s="129"/>
      <c r="CX673" s="132"/>
      <c r="CY673" s="128"/>
      <c r="CZ673" s="129"/>
      <c r="DB673" s="132"/>
      <c r="DC673" s="128"/>
      <c r="DD673" s="129"/>
      <c r="DF673" s="132"/>
      <c r="DG673" s="85"/>
      <c r="DH673" s="85"/>
      <c r="DI673" s="84"/>
      <c r="DK673" s="84"/>
      <c r="DP673" s="84"/>
      <c r="DU673" s="84"/>
      <c r="DY673" s="84"/>
      <c r="EC673" s="84"/>
      <c r="EG673" s="84"/>
      <c r="EK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128"/>
      <c r="AA674" s="129"/>
      <c r="AC674" s="130"/>
      <c r="AD674" s="128"/>
      <c r="AE674" s="129"/>
      <c r="AG674" s="130"/>
      <c r="AH674" s="128"/>
      <c r="AI674" s="129"/>
      <c r="AK674" s="130"/>
      <c r="AL674" s="128"/>
      <c r="AM674" s="129"/>
      <c r="AO674" s="130"/>
      <c r="AP674" s="128"/>
      <c r="AQ674" s="129"/>
      <c r="AS674" s="130"/>
      <c r="AT674" s="128"/>
      <c r="AU674" s="129"/>
      <c r="AW674" s="130"/>
      <c r="AX674" s="85"/>
      <c r="AY674" s="84"/>
      <c r="AZ674" s="84"/>
      <c r="BA674" s="131"/>
      <c r="BB674" s="84"/>
      <c r="BE674" s="84"/>
      <c r="BI674" s="86"/>
      <c r="BO674" s="84"/>
      <c r="BT674" s="84"/>
      <c r="BY674" s="84"/>
      <c r="CD674" s="84"/>
      <c r="CI674" s="128"/>
      <c r="CJ674" s="129"/>
      <c r="CL674" s="132"/>
      <c r="CM674" s="128"/>
      <c r="CN674" s="129"/>
      <c r="CP674" s="132"/>
      <c r="CQ674" s="128"/>
      <c r="CR674" s="129"/>
      <c r="CT674" s="132"/>
      <c r="CU674" s="128"/>
      <c r="CV674" s="129"/>
      <c r="CX674" s="132"/>
      <c r="CY674" s="128"/>
      <c r="CZ674" s="129"/>
      <c r="DB674" s="132"/>
      <c r="DC674" s="128"/>
      <c r="DD674" s="129"/>
      <c r="DF674" s="132"/>
      <c r="DG674" s="85"/>
      <c r="DH674" s="85"/>
      <c r="DI674" s="84"/>
      <c r="DK674" s="84"/>
      <c r="DP674" s="84"/>
      <c r="DU674" s="84"/>
      <c r="DY674" s="84"/>
      <c r="EC674" s="84"/>
      <c r="EG674" s="84"/>
      <c r="EK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128"/>
      <c r="AA675" s="129"/>
      <c r="AC675" s="130"/>
      <c r="AD675" s="128"/>
      <c r="AE675" s="129"/>
      <c r="AG675" s="130"/>
      <c r="AH675" s="128"/>
      <c r="AI675" s="129"/>
      <c r="AK675" s="130"/>
      <c r="AL675" s="128"/>
      <c r="AM675" s="129"/>
      <c r="AO675" s="130"/>
      <c r="AP675" s="128"/>
      <c r="AQ675" s="129"/>
      <c r="AS675" s="130"/>
      <c r="AT675" s="128"/>
      <c r="AU675" s="129"/>
      <c r="AW675" s="130"/>
      <c r="AX675" s="85"/>
      <c r="AY675" s="84"/>
      <c r="AZ675" s="84"/>
      <c r="BA675" s="131"/>
      <c r="BB675" s="84"/>
      <c r="BE675" s="84"/>
      <c r="BI675" s="86"/>
      <c r="BO675" s="84"/>
      <c r="BT675" s="84"/>
      <c r="BY675" s="84"/>
      <c r="CD675" s="84"/>
      <c r="CI675" s="128"/>
      <c r="CJ675" s="129"/>
      <c r="CL675" s="132"/>
      <c r="CM675" s="128"/>
      <c r="CN675" s="129"/>
      <c r="CP675" s="132"/>
      <c r="CQ675" s="128"/>
      <c r="CR675" s="129"/>
      <c r="CT675" s="132"/>
      <c r="CU675" s="128"/>
      <c r="CV675" s="129"/>
      <c r="CX675" s="132"/>
      <c r="CY675" s="128"/>
      <c r="CZ675" s="129"/>
      <c r="DB675" s="132"/>
      <c r="DC675" s="128"/>
      <c r="DD675" s="129"/>
      <c r="DF675" s="132"/>
      <c r="DG675" s="85"/>
      <c r="DH675" s="85"/>
      <c r="DI675" s="84"/>
      <c r="DK675" s="84"/>
      <c r="DP675" s="84"/>
      <c r="DU675" s="84"/>
      <c r="DY675" s="84"/>
      <c r="EC675" s="84"/>
      <c r="EG675" s="84"/>
      <c r="EK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128"/>
      <c r="AA676" s="129"/>
      <c r="AC676" s="130"/>
      <c r="AD676" s="128"/>
      <c r="AE676" s="129"/>
      <c r="AG676" s="130"/>
      <c r="AH676" s="128"/>
      <c r="AI676" s="129"/>
      <c r="AK676" s="130"/>
      <c r="AL676" s="128"/>
      <c r="AM676" s="129"/>
      <c r="AO676" s="130"/>
      <c r="AP676" s="128"/>
      <c r="AQ676" s="129"/>
      <c r="AS676" s="130"/>
      <c r="AT676" s="128"/>
      <c r="AU676" s="129"/>
      <c r="AW676" s="130"/>
      <c r="AX676" s="85"/>
      <c r="AY676" s="84"/>
      <c r="AZ676" s="84"/>
      <c r="BA676" s="131"/>
      <c r="BB676" s="84"/>
      <c r="BE676" s="84"/>
      <c r="BI676" s="86"/>
      <c r="BO676" s="84"/>
      <c r="BT676" s="84"/>
      <c r="BY676" s="84"/>
      <c r="CD676" s="84"/>
      <c r="CI676" s="128"/>
      <c r="CJ676" s="129"/>
      <c r="CL676" s="132"/>
      <c r="CM676" s="128"/>
      <c r="CN676" s="129"/>
      <c r="CP676" s="132"/>
      <c r="CQ676" s="128"/>
      <c r="CR676" s="129"/>
      <c r="CT676" s="132"/>
      <c r="CU676" s="128"/>
      <c r="CV676" s="129"/>
      <c r="CX676" s="132"/>
      <c r="CY676" s="128"/>
      <c r="CZ676" s="129"/>
      <c r="DB676" s="132"/>
      <c r="DC676" s="128"/>
      <c r="DD676" s="129"/>
      <c r="DF676" s="132"/>
      <c r="DG676" s="85"/>
      <c r="DH676" s="85"/>
      <c r="DI676" s="84"/>
      <c r="DK676" s="84"/>
      <c r="DP676" s="84"/>
      <c r="DU676" s="84"/>
      <c r="DY676" s="84"/>
      <c r="EC676" s="84"/>
      <c r="EG676" s="84"/>
      <c r="EK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128"/>
      <c r="AA677" s="129"/>
      <c r="AC677" s="130"/>
      <c r="AD677" s="128"/>
      <c r="AE677" s="129"/>
      <c r="AG677" s="130"/>
      <c r="AH677" s="128"/>
      <c r="AI677" s="129"/>
      <c r="AK677" s="130"/>
      <c r="AL677" s="128"/>
      <c r="AM677" s="129"/>
      <c r="AO677" s="130"/>
      <c r="AP677" s="128"/>
      <c r="AQ677" s="129"/>
      <c r="AS677" s="130"/>
      <c r="AT677" s="128"/>
      <c r="AU677" s="129"/>
      <c r="AW677" s="130"/>
      <c r="AX677" s="85"/>
      <c r="AY677" s="84"/>
      <c r="AZ677" s="84"/>
      <c r="BA677" s="131"/>
      <c r="BB677" s="84"/>
      <c r="BE677" s="84"/>
      <c r="BI677" s="86"/>
      <c r="BO677" s="84"/>
      <c r="BT677" s="84"/>
      <c r="BY677" s="84"/>
      <c r="CD677" s="84"/>
      <c r="CI677" s="128"/>
      <c r="CJ677" s="129"/>
      <c r="CL677" s="132"/>
      <c r="CM677" s="128"/>
      <c r="CN677" s="129"/>
      <c r="CP677" s="132"/>
      <c r="CQ677" s="128"/>
      <c r="CR677" s="129"/>
      <c r="CT677" s="132"/>
      <c r="CU677" s="128"/>
      <c r="CV677" s="129"/>
      <c r="CX677" s="132"/>
      <c r="CY677" s="128"/>
      <c r="CZ677" s="129"/>
      <c r="DB677" s="132"/>
      <c r="DC677" s="128"/>
      <c r="DD677" s="129"/>
      <c r="DF677" s="132"/>
      <c r="DG677" s="85"/>
      <c r="DH677" s="85"/>
      <c r="DI677" s="84"/>
      <c r="DK677" s="84"/>
      <c r="DP677" s="84"/>
      <c r="DU677" s="84"/>
      <c r="DY677" s="84"/>
      <c r="EC677" s="84"/>
      <c r="EG677" s="84"/>
      <c r="EK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128"/>
      <c r="AA678" s="129"/>
      <c r="AC678" s="130"/>
      <c r="AD678" s="128"/>
      <c r="AE678" s="129"/>
      <c r="AG678" s="130"/>
      <c r="AH678" s="128"/>
      <c r="AI678" s="129"/>
      <c r="AK678" s="130"/>
      <c r="AL678" s="128"/>
      <c r="AM678" s="129"/>
      <c r="AO678" s="130"/>
      <c r="AP678" s="128"/>
      <c r="AQ678" s="129"/>
      <c r="AS678" s="130"/>
      <c r="AT678" s="128"/>
      <c r="AU678" s="129"/>
      <c r="AW678" s="130"/>
      <c r="AX678" s="85"/>
      <c r="AY678" s="84"/>
      <c r="AZ678" s="84"/>
      <c r="BA678" s="131"/>
      <c r="BB678" s="84"/>
      <c r="BE678" s="84"/>
      <c r="BI678" s="86"/>
      <c r="BO678" s="84"/>
      <c r="BT678" s="84"/>
      <c r="BY678" s="84"/>
      <c r="CD678" s="84"/>
      <c r="CI678" s="128"/>
      <c r="CJ678" s="129"/>
      <c r="CL678" s="132"/>
      <c r="CM678" s="128"/>
      <c r="CN678" s="129"/>
      <c r="CP678" s="132"/>
      <c r="CQ678" s="128"/>
      <c r="CR678" s="129"/>
      <c r="CT678" s="132"/>
      <c r="CU678" s="128"/>
      <c r="CV678" s="129"/>
      <c r="CX678" s="132"/>
      <c r="CY678" s="128"/>
      <c r="CZ678" s="129"/>
      <c r="DB678" s="132"/>
      <c r="DC678" s="128"/>
      <c r="DD678" s="129"/>
      <c r="DF678" s="132"/>
      <c r="DG678" s="85"/>
      <c r="DH678" s="85"/>
      <c r="DI678" s="84"/>
      <c r="DK678" s="84"/>
      <c r="DP678" s="84"/>
      <c r="DU678" s="84"/>
      <c r="DY678" s="84"/>
      <c r="EC678" s="84"/>
      <c r="EG678" s="84"/>
      <c r="EK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128"/>
      <c r="AA679" s="129"/>
      <c r="AC679" s="130"/>
      <c r="AD679" s="128"/>
      <c r="AE679" s="129"/>
      <c r="AG679" s="130"/>
      <c r="AH679" s="128"/>
      <c r="AI679" s="129"/>
      <c r="AK679" s="130"/>
      <c r="AL679" s="128"/>
      <c r="AM679" s="129"/>
      <c r="AO679" s="130"/>
      <c r="AP679" s="128"/>
      <c r="AQ679" s="129"/>
      <c r="AS679" s="130"/>
      <c r="AT679" s="128"/>
      <c r="AU679" s="129"/>
      <c r="AW679" s="130"/>
      <c r="AX679" s="85"/>
      <c r="AY679" s="84"/>
      <c r="AZ679" s="84"/>
      <c r="BA679" s="131"/>
      <c r="BB679" s="84"/>
      <c r="BE679" s="84"/>
      <c r="BI679" s="86"/>
      <c r="BO679" s="84"/>
      <c r="BT679" s="84"/>
      <c r="BY679" s="84"/>
      <c r="CD679" s="84"/>
      <c r="CI679" s="128"/>
      <c r="CJ679" s="129"/>
      <c r="CL679" s="132"/>
      <c r="CM679" s="128"/>
      <c r="CN679" s="129"/>
      <c r="CP679" s="132"/>
      <c r="CQ679" s="128"/>
      <c r="CR679" s="129"/>
      <c r="CT679" s="132"/>
      <c r="CU679" s="128"/>
      <c r="CV679" s="129"/>
      <c r="CX679" s="132"/>
      <c r="CY679" s="128"/>
      <c r="CZ679" s="129"/>
      <c r="DB679" s="132"/>
      <c r="DC679" s="128"/>
      <c r="DD679" s="129"/>
      <c r="DF679" s="132"/>
      <c r="DG679" s="85"/>
      <c r="DH679" s="85"/>
      <c r="DI679" s="84"/>
      <c r="DK679" s="84"/>
      <c r="DP679" s="84"/>
      <c r="DU679" s="84"/>
      <c r="DY679" s="84"/>
      <c r="EC679" s="84"/>
      <c r="EG679" s="84"/>
      <c r="EK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128"/>
      <c r="AA680" s="129"/>
      <c r="AC680" s="130"/>
      <c r="AD680" s="128"/>
      <c r="AE680" s="129"/>
      <c r="AG680" s="130"/>
      <c r="AH680" s="128"/>
      <c r="AI680" s="129"/>
      <c r="AK680" s="130"/>
      <c r="AL680" s="128"/>
      <c r="AM680" s="129"/>
      <c r="AO680" s="130"/>
      <c r="AP680" s="128"/>
      <c r="AQ680" s="129"/>
      <c r="AS680" s="130"/>
      <c r="AT680" s="128"/>
      <c r="AU680" s="129"/>
      <c r="AW680" s="130"/>
      <c r="AX680" s="85"/>
      <c r="AY680" s="84"/>
      <c r="AZ680" s="84"/>
      <c r="BA680" s="131"/>
      <c r="BB680" s="84"/>
      <c r="BE680" s="84"/>
      <c r="BI680" s="86"/>
      <c r="BO680" s="84"/>
      <c r="BT680" s="84"/>
      <c r="BY680" s="84"/>
      <c r="CD680" s="84"/>
      <c r="CI680" s="128"/>
      <c r="CJ680" s="129"/>
      <c r="CL680" s="132"/>
      <c r="CM680" s="128"/>
      <c r="CN680" s="129"/>
      <c r="CP680" s="132"/>
      <c r="CQ680" s="128"/>
      <c r="CR680" s="129"/>
      <c r="CT680" s="132"/>
      <c r="CU680" s="128"/>
      <c r="CV680" s="129"/>
      <c r="CX680" s="132"/>
      <c r="CY680" s="128"/>
      <c r="CZ680" s="129"/>
      <c r="DB680" s="132"/>
      <c r="DC680" s="128"/>
      <c r="DD680" s="129"/>
      <c r="DF680" s="132"/>
      <c r="DG680" s="85"/>
      <c r="DH680" s="85"/>
      <c r="DI680" s="84"/>
      <c r="DK680" s="84"/>
      <c r="DP680" s="84"/>
      <c r="DU680" s="84"/>
      <c r="DY680" s="84"/>
      <c r="EC680" s="84"/>
      <c r="EG680" s="84"/>
      <c r="EK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128"/>
      <c r="AA681" s="129"/>
      <c r="AC681" s="130"/>
      <c r="AD681" s="128"/>
      <c r="AE681" s="129"/>
      <c r="AG681" s="130"/>
      <c r="AH681" s="128"/>
      <c r="AI681" s="129"/>
      <c r="AK681" s="130"/>
      <c r="AL681" s="128"/>
      <c r="AM681" s="129"/>
      <c r="AO681" s="130"/>
      <c r="AP681" s="128"/>
      <c r="AQ681" s="129"/>
      <c r="AS681" s="130"/>
      <c r="AT681" s="128"/>
      <c r="AU681" s="129"/>
      <c r="AW681" s="130"/>
      <c r="AX681" s="85"/>
      <c r="AY681" s="84"/>
      <c r="AZ681" s="84"/>
      <c r="BA681" s="131"/>
      <c r="BB681" s="84"/>
      <c r="BE681" s="84"/>
      <c r="BI681" s="86"/>
      <c r="BO681" s="84"/>
      <c r="BT681" s="84"/>
      <c r="BY681" s="84"/>
      <c r="CD681" s="84"/>
      <c r="CI681" s="128"/>
      <c r="CJ681" s="129"/>
      <c r="CL681" s="132"/>
      <c r="CM681" s="128"/>
      <c r="CN681" s="129"/>
      <c r="CP681" s="132"/>
      <c r="CQ681" s="128"/>
      <c r="CR681" s="129"/>
      <c r="CT681" s="132"/>
      <c r="CU681" s="128"/>
      <c r="CV681" s="129"/>
      <c r="CX681" s="132"/>
      <c r="CY681" s="128"/>
      <c r="CZ681" s="129"/>
      <c r="DB681" s="132"/>
      <c r="DC681" s="128"/>
      <c r="DD681" s="129"/>
      <c r="DF681" s="132"/>
      <c r="DG681" s="85"/>
      <c r="DH681" s="85"/>
      <c r="DI681" s="84"/>
      <c r="DK681" s="84"/>
      <c r="DP681" s="84"/>
      <c r="DU681" s="84"/>
      <c r="DY681" s="84"/>
      <c r="EC681" s="84"/>
      <c r="EG681" s="84"/>
      <c r="EK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128"/>
      <c r="AA682" s="129"/>
      <c r="AC682" s="130"/>
      <c r="AD682" s="128"/>
      <c r="AE682" s="129"/>
      <c r="AG682" s="130"/>
      <c r="AH682" s="128"/>
      <c r="AI682" s="129"/>
      <c r="AK682" s="130"/>
      <c r="AL682" s="128"/>
      <c r="AM682" s="129"/>
      <c r="AO682" s="130"/>
      <c r="AP682" s="128"/>
      <c r="AQ682" s="129"/>
      <c r="AS682" s="130"/>
      <c r="AT682" s="128"/>
      <c r="AU682" s="129"/>
      <c r="AW682" s="130"/>
      <c r="AX682" s="85"/>
      <c r="AY682" s="84"/>
      <c r="AZ682" s="84"/>
      <c r="BA682" s="131"/>
      <c r="BB682" s="84"/>
      <c r="BE682" s="84"/>
      <c r="BI682" s="86"/>
      <c r="BO682" s="84"/>
      <c r="BT682" s="84"/>
      <c r="BY682" s="84"/>
      <c r="CD682" s="84"/>
      <c r="CI682" s="128"/>
      <c r="CJ682" s="129"/>
      <c r="CL682" s="132"/>
      <c r="CM682" s="128"/>
      <c r="CN682" s="129"/>
      <c r="CP682" s="132"/>
      <c r="CQ682" s="128"/>
      <c r="CR682" s="129"/>
      <c r="CT682" s="132"/>
      <c r="CU682" s="128"/>
      <c r="CV682" s="129"/>
      <c r="CX682" s="132"/>
      <c r="CY682" s="128"/>
      <c r="CZ682" s="129"/>
      <c r="DB682" s="132"/>
      <c r="DC682" s="128"/>
      <c r="DD682" s="129"/>
      <c r="DF682" s="132"/>
      <c r="DG682" s="85"/>
      <c r="DH682" s="85"/>
      <c r="DI682" s="84"/>
      <c r="DK682" s="84"/>
      <c r="DP682" s="84"/>
      <c r="DU682" s="84"/>
      <c r="DY682" s="84"/>
      <c r="EC682" s="84"/>
      <c r="EG682" s="84"/>
      <c r="EK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128"/>
      <c r="AA683" s="129"/>
      <c r="AC683" s="130"/>
      <c r="AD683" s="128"/>
      <c r="AE683" s="129"/>
      <c r="AG683" s="130"/>
      <c r="AH683" s="128"/>
      <c r="AI683" s="129"/>
      <c r="AK683" s="130"/>
      <c r="AL683" s="128"/>
      <c r="AM683" s="129"/>
      <c r="AO683" s="130"/>
      <c r="AP683" s="128"/>
      <c r="AQ683" s="129"/>
      <c r="AS683" s="130"/>
      <c r="AT683" s="128"/>
      <c r="AU683" s="129"/>
      <c r="AW683" s="130"/>
      <c r="AX683" s="85"/>
      <c r="AY683" s="84"/>
      <c r="AZ683" s="84"/>
      <c r="BA683" s="131"/>
      <c r="BB683" s="84"/>
      <c r="BE683" s="84"/>
      <c r="BI683" s="86"/>
      <c r="BO683" s="84"/>
      <c r="BT683" s="84"/>
      <c r="BY683" s="84"/>
      <c r="CD683" s="84"/>
      <c r="CI683" s="128"/>
      <c r="CJ683" s="129"/>
      <c r="CL683" s="132"/>
      <c r="CM683" s="128"/>
      <c r="CN683" s="129"/>
      <c r="CP683" s="132"/>
      <c r="CQ683" s="128"/>
      <c r="CR683" s="129"/>
      <c r="CT683" s="132"/>
      <c r="CU683" s="128"/>
      <c r="CV683" s="129"/>
      <c r="CX683" s="132"/>
      <c r="CY683" s="128"/>
      <c r="CZ683" s="129"/>
      <c r="DB683" s="132"/>
      <c r="DC683" s="128"/>
      <c r="DD683" s="129"/>
      <c r="DF683" s="132"/>
      <c r="DG683" s="85"/>
      <c r="DH683" s="85"/>
      <c r="DI683" s="84"/>
      <c r="DK683" s="84"/>
      <c r="DP683" s="84"/>
      <c r="DU683" s="84"/>
      <c r="DY683" s="84"/>
      <c r="EC683" s="84"/>
      <c r="EG683" s="84"/>
      <c r="EK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128"/>
      <c r="AA684" s="129"/>
      <c r="AC684" s="130"/>
      <c r="AD684" s="128"/>
      <c r="AE684" s="129"/>
      <c r="AG684" s="130"/>
      <c r="AH684" s="128"/>
      <c r="AI684" s="129"/>
      <c r="AK684" s="130"/>
      <c r="AL684" s="128"/>
      <c r="AM684" s="129"/>
      <c r="AO684" s="130"/>
      <c r="AP684" s="128"/>
      <c r="AQ684" s="129"/>
      <c r="AS684" s="130"/>
      <c r="AT684" s="128"/>
      <c r="AU684" s="129"/>
      <c r="AW684" s="130"/>
      <c r="AX684" s="85"/>
      <c r="AY684" s="84"/>
      <c r="AZ684" s="84"/>
      <c r="BA684" s="131"/>
      <c r="BB684" s="84"/>
      <c r="BE684" s="84"/>
      <c r="BI684" s="86"/>
      <c r="BO684" s="84"/>
      <c r="BT684" s="84"/>
      <c r="BY684" s="84"/>
      <c r="CD684" s="84"/>
      <c r="CI684" s="128"/>
      <c r="CJ684" s="129"/>
      <c r="CL684" s="132"/>
      <c r="CM684" s="128"/>
      <c r="CN684" s="129"/>
      <c r="CP684" s="132"/>
      <c r="CQ684" s="128"/>
      <c r="CR684" s="129"/>
      <c r="CT684" s="132"/>
      <c r="CU684" s="128"/>
      <c r="CV684" s="129"/>
      <c r="CX684" s="132"/>
      <c r="CY684" s="128"/>
      <c r="CZ684" s="129"/>
      <c r="DB684" s="132"/>
      <c r="DC684" s="128"/>
      <c r="DD684" s="129"/>
      <c r="DF684" s="132"/>
      <c r="DG684" s="85"/>
      <c r="DH684" s="85"/>
      <c r="DI684" s="84"/>
      <c r="DK684" s="84"/>
      <c r="DP684" s="84"/>
      <c r="DU684" s="84"/>
      <c r="DY684" s="84"/>
      <c r="EC684" s="84"/>
      <c r="EG684" s="84"/>
      <c r="EK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128"/>
      <c r="AA685" s="129"/>
      <c r="AC685" s="130"/>
      <c r="AD685" s="128"/>
      <c r="AE685" s="129"/>
      <c r="AG685" s="130"/>
      <c r="AH685" s="128"/>
      <c r="AI685" s="129"/>
      <c r="AK685" s="130"/>
      <c r="AL685" s="128"/>
      <c r="AM685" s="129"/>
      <c r="AO685" s="130"/>
      <c r="AP685" s="128"/>
      <c r="AQ685" s="129"/>
      <c r="AS685" s="130"/>
      <c r="AT685" s="128"/>
      <c r="AU685" s="129"/>
      <c r="AW685" s="130"/>
      <c r="AX685" s="85"/>
      <c r="AY685" s="84"/>
      <c r="AZ685" s="84"/>
      <c r="BA685" s="131"/>
      <c r="BB685" s="84"/>
      <c r="BE685" s="84"/>
      <c r="BI685" s="86"/>
      <c r="BO685" s="84"/>
      <c r="BT685" s="84"/>
      <c r="BY685" s="84"/>
      <c r="CD685" s="84"/>
      <c r="CI685" s="128"/>
      <c r="CJ685" s="129"/>
      <c r="CL685" s="132"/>
      <c r="CM685" s="128"/>
      <c r="CN685" s="129"/>
      <c r="CP685" s="132"/>
      <c r="CQ685" s="128"/>
      <c r="CR685" s="129"/>
      <c r="CT685" s="132"/>
      <c r="CU685" s="128"/>
      <c r="CV685" s="129"/>
      <c r="CX685" s="132"/>
      <c r="CY685" s="128"/>
      <c r="CZ685" s="129"/>
      <c r="DB685" s="132"/>
      <c r="DC685" s="128"/>
      <c r="DD685" s="129"/>
      <c r="DF685" s="132"/>
      <c r="DG685" s="85"/>
      <c r="DH685" s="85"/>
      <c r="DI685" s="84"/>
      <c r="DK685" s="84"/>
      <c r="DP685" s="84"/>
      <c r="DU685" s="84"/>
      <c r="DY685" s="84"/>
      <c r="EC685" s="84"/>
      <c r="EG685" s="84"/>
      <c r="EK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128"/>
      <c r="AA686" s="129"/>
      <c r="AC686" s="130"/>
      <c r="AD686" s="128"/>
      <c r="AE686" s="129"/>
      <c r="AG686" s="130"/>
      <c r="AH686" s="128"/>
      <c r="AI686" s="129"/>
      <c r="AK686" s="130"/>
      <c r="AL686" s="128"/>
      <c r="AM686" s="129"/>
      <c r="AO686" s="130"/>
      <c r="AP686" s="128"/>
      <c r="AQ686" s="129"/>
      <c r="AS686" s="130"/>
      <c r="AT686" s="128"/>
      <c r="AU686" s="129"/>
      <c r="AW686" s="130"/>
      <c r="AX686" s="85"/>
      <c r="AY686" s="84"/>
      <c r="AZ686" s="84"/>
      <c r="BA686" s="131"/>
      <c r="BB686" s="84"/>
      <c r="BE686" s="84"/>
      <c r="BI686" s="86"/>
      <c r="BO686" s="84"/>
      <c r="BT686" s="84"/>
      <c r="BY686" s="84"/>
      <c r="CD686" s="84"/>
      <c r="CI686" s="128"/>
      <c r="CJ686" s="129"/>
      <c r="CL686" s="132"/>
      <c r="CM686" s="128"/>
      <c r="CN686" s="129"/>
      <c r="CP686" s="132"/>
      <c r="CQ686" s="128"/>
      <c r="CR686" s="129"/>
      <c r="CT686" s="132"/>
      <c r="CU686" s="128"/>
      <c r="CV686" s="129"/>
      <c r="CX686" s="132"/>
      <c r="CY686" s="128"/>
      <c r="CZ686" s="129"/>
      <c r="DB686" s="132"/>
      <c r="DC686" s="128"/>
      <c r="DD686" s="129"/>
      <c r="DF686" s="132"/>
      <c r="DG686" s="85"/>
      <c r="DH686" s="85"/>
      <c r="DI686" s="84"/>
      <c r="DK686" s="84"/>
      <c r="DP686" s="84"/>
      <c r="DU686" s="84"/>
      <c r="DY686" s="84"/>
      <c r="EC686" s="84"/>
      <c r="EG686" s="84"/>
      <c r="EK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128"/>
      <c r="AA687" s="129"/>
      <c r="AC687" s="130"/>
      <c r="AD687" s="128"/>
      <c r="AE687" s="129"/>
      <c r="AG687" s="130"/>
      <c r="AH687" s="128"/>
      <c r="AI687" s="129"/>
      <c r="AK687" s="130"/>
      <c r="AL687" s="128"/>
      <c r="AM687" s="129"/>
      <c r="AO687" s="130"/>
      <c r="AP687" s="128"/>
      <c r="AQ687" s="129"/>
      <c r="AS687" s="130"/>
      <c r="AT687" s="128"/>
      <c r="AU687" s="129"/>
      <c r="AW687" s="130"/>
      <c r="AX687" s="85"/>
      <c r="AY687" s="84"/>
      <c r="AZ687" s="84"/>
      <c r="BA687" s="131"/>
      <c r="BB687" s="84"/>
      <c r="BE687" s="84"/>
      <c r="BI687" s="86"/>
      <c r="BO687" s="84"/>
      <c r="BT687" s="84"/>
      <c r="BY687" s="84"/>
      <c r="CD687" s="84"/>
      <c r="CI687" s="128"/>
      <c r="CJ687" s="129"/>
      <c r="CL687" s="132"/>
      <c r="CM687" s="128"/>
      <c r="CN687" s="129"/>
      <c r="CP687" s="132"/>
      <c r="CQ687" s="128"/>
      <c r="CR687" s="129"/>
      <c r="CT687" s="132"/>
      <c r="CU687" s="128"/>
      <c r="CV687" s="129"/>
      <c r="CX687" s="132"/>
      <c r="CY687" s="128"/>
      <c r="CZ687" s="129"/>
      <c r="DB687" s="132"/>
      <c r="DC687" s="128"/>
      <c r="DD687" s="129"/>
      <c r="DF687" s="132"/>
      <c r="DG687" s="85"/>
      <c r="DH687" s="85"/>
      <c r="DI687" s="84"/>
      <c r="DK687" s="84"/>
      <c r="DP687" s="84"/>
      <c r="DU687" s="84"/>
      <c r="DY687" s="84"/>
      <c r="EC687" s="84"/>
      <c r="EG687" s="84"/>
      <c r="EK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128"/>
      <c r="AA688" s="129"/>
      <c r="AC688" s="130"/>
      <c r="AD688" s="128"/>
      <c r="AE688" s="129"/>
      <c r="AG688" s="130"/>
      <c r="AH688" s="128"/>
      <c r="AI688" s="129"/>
      <c r="AK688" s="130"/>
      <c r="AL688" s="128"/>
      <c r="AM688" s="129"/>
      <c r="AO688" s="130"/>
      <c r="AP688" s="128"/>
      <c r="AQ688" s="129"/>
      <c r="AS688" s="130"/>
      <c r="AT688" s="128"/>
      <c r="AU688" s="129"/>
      <c r="AW688" s="130"/>
      <c r="AX688" s="85"/>
      <c r="AY688" s="84"/>
      <c r="AZ688" s="84"/>
      <c r="BA688" s="131"/>
      <c r="BB688" s="84"/>
      <c r="BE688" s="84"/>
      <c r="BI688" s="86"/>
      <c r="BO688" s="84"/>
      <c r="BT688" s="84"/>
      <c r="BY688" s="84"/>
      <c r="CD688" s="84"/>
      <c r="CI688" s="128"/>
      <c r="CJ688" s="129"/>
      <c r="CL688" s="132"/>
      <c r="CM688" s="128"/>
      <c r="CN688" s="129"/>
      <c r="CP688" s="132"/>
      <c r="CQ688" s="128"/>
      <c r="CR688" s="129"/>
      <c r="CT688" s="132"/>
      <c r="CU688" s="128"/>
      <c r="CV688" s="129"/>
      <c r="CX688" s="132"/>
      <c r="CY688" s="128"/>
      <c r="CZ688" s="129"/>
      <c r="DB688" s="132"/>
      <c r="DC688" s="128"/>
      <c r="DD688" s="129"/>
      <c r="DF688" s="132"/>
      <c r="DG688" s="85"/>
      <c r="DH688" s="85"/>
      <c r="DI688" s="84"/>
      <c r="DK688" s="84"/>
      <c r="DP688" s="84"/>
      <c r="DU688" s="84"/>
      <c r="DY688" s="84"/>
      <c r="EC688" s="84"/>
      <c r="EG688" s="84"/>
      <c r="EK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128"/>
      <c r="AA689" s="129"/>
      <c r="AC689" s="130"/>
      <c r="AD689" s="128"/>
      <c r="AE689" s="129"/>
      <c r="AG689" s="130"/>
      <c r="AH689" s="128"/>
      <c r="AI689" s="129"/>
      <c r="AK689" s="130"/>
      <c r="AL689" s="128"/>
      <c r="AM689" s="129"/>
      <c r="AO689" s="130"/>
      <c r="AP689" s="128"/>
      <c r="AQ689" s="129"/>
      <c r="AS689" s="130"/>
      <c r="AT689" s="128"/>
      <c r="AU689" s="129"/>
      <c r="AW689" s="130"/>
      <c r="AX689" s="85"/>
      <c r="AY689" s="84"/>
      <c r="AZ689" s="84"/>
      <c r="BA689" s="131"/>
      <c r="BB689" s="84"/>
      <c r="BE689" s="84"/>
      <c r="BI689" s="86"/>
      <c r="BO689" s="84"/>
      <c r="BT689" s="84"/>
      <c r="BY689" s="84"/>
      <c r="CD689" s="84"/>
      <c r="CI689" s="128"/>
      <c r="CJ689" s="129"/>
      <c r="CL689" s="132"/>
      <c r="CM689" s="128"/>
      <c r="CN689" s="129"/>
      <c r="CP689" s="132"/>
      <c r="CQ689" s="128"/>
      <c r="CR689" s="129"/>
      <c r="CT689" s="132"/>
      <c r="CU689" s="128"/>
      <c r="CV689" s="129"/>
      <c r="CX689" s="132"/>
      <c r="CY689" s="128"/>
      <c r="CZ689" s="129"/>
      <c r="DB689" s="132"/>
      <c r="DC689" s="128"/>
      <c r="DD689" s="129"/>
      <c r="DF689" s="132"/>
      <c r="DG689" s="85"/>
      <c r="DH689" s="85"/>
      <c r="DI689" s="84"/>
      <c r="DK689" s="84"/>
      <c r="DP689" s="84"/>
      <c r="DU689" s="84"/>
      <c r="DY689" s="84"/>
      <c r="EC689" s="84"/>
      <c r="EG689" s="84"/>
      <c r="EK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128"/>
      <c r="AA690" s="129"/>
      <c r="AC690" s="130"/>
      <c r="AD690" s="128"/>
      <c r="AE690" s="129"/>
      <c r="AG690" s="130"/>
      <c r="AH690" s="128"/>
      <c r="AI690" s="129"/>
      <c r="AK690" s="130"/>
      <c r="AL690" s="128"/>
      <c r="AM690" s="129"/>
      <c r="AO690" s="130"/>
      <c r="AP690" s="128"/>
      <c r="AQ690" s="129"/>
      <c r="AS690" s="130"/>
      <c r="AT690" s="128"/>
      <c r="AU690" s="129"/>
      <c r="AW690" s="130"/>
      <c r="AX690" s="85"/>
      <c r="AY690" s="84"/>
      <c r="AZ690" s="84"/>
      <c r="BA690" s="131"/>
      <c r="BB690" s="84"/>
      <c r="BE690" s="84"/>
      <c r="BI690" s="86"/>
      <c r="BO690" s="84"/>
      <c r="BT690" s="84"/>
      <c r="BY690" s="84"/>
      <c r="CD690" s="84"/>
      <c r="CI690" s="128"/>
      <c r="CJ690" s="129"/>
      <c r="CL690" s="132"/>
      <c r="CM690" s="128"/>
      <c r="CN690" s="129"/>
      <c r="CP690" s="132"/>
      <c r="CQ690" s="128"/>
      <c r="CR690" s="129"/>
      <c r="CT690" s="132"/>
      <c r="CU690" s="128"/>
      <c r="CV690" s="129"/>
      <c r="CX690" s="132"/>
      <c r="CY690" s="128"/>
      <c r="CZ690" s="129"/>
      <c r="DB690" s="132"/>
      <c r="DC690" s="128"/>
      <c r="DD690" s="129"/>
      <c r="DF690" s="132"/>
      <c r="DG690" s="85"/>
      <c r="DH690" s="85"/>
      <c r="DI690" s="84"/>
      <c r="DK690" s="84"/>
      <c r="DP690" s="84"/>
      <c r="DU690" s="84"/>
      <c r="DY690" s="84"/>
      <c r="EC690" s="84"/>
      <c r="EG690" s="84"/>
      <c r="EK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128"/>
      <c r="AA691" s="129"/>
      <c r="AC691" s="130"/>
      <c r="AD691" s="128"/>
      <c r="AE691" s="129"/>
      <c r="AG691" s="130"/>
      <c r="AH691" s="128"/>
      <c r="AI691" s="129"/>
      <c r="AK691" s="130"/>
      <c r="AL691" s="128"/>
      <c r="AM691" s="129"/>
      <c r="AO691" s="130"/>
      <c r="AP691" s="128"/>
      <c r="AQ691" s="129"/>
      <c r="AS691" s="130"/>
      <c r="AT691" s="128"/>
      <c r="AU691" s="129"/>
      <c r="AW691" s="130"/>
      <c r="AX691" s="85"/>
      <c r="AY691" s="84"/>
      <c r="AZ691" s="84"/>
      <c r="BA691" s="131"/>
      <c r="BB691" s="84"/>
      <c r="BE691" s="84"/>
      <c r="BI691" s="86"/>
      <c r="BO691" s="84"/>
      <c r="BT691" s="84"/>
      <c r="BY691" s="84"/>
      <c r="CD691" s="84"/>
      <c r="CI691" s="128"/>
      <c r="CJ691" s="129"/>
      <c r="CL691" s="132"/>
      <c r="CM691" s="128"/>
      <c r="CN691" s="129"/>
      <c r="CP691" s="132"/>
      <c r="CQ691" s="128"/>
      <c r="CR691" s="129"/>
      <c r="CT691" s="132"/>
      <c r="CU691" s="128"/>
      <c r="CV691" s="129"/>
      <c r="CX691" s="132"/>
      <c r="CY691" s="128"/>
      <c r="CZ691" s="129"/>
      <c r="DB691" s="132"/>
      <c r="DC691" s="128"/>
      <c r="DD691" s="129"/>
      <c r="DF691" s="132"/>
      <c r="DG691" s="85"/>
      <c r="DH691" s="85"/>
      <c r="DI691" s="84"/>
      <c r="DK691" s="84"/>
      <c r="DP691" s="84"/>
      <c r="DU691" s="84"/>
      <c r="DY691" s="84"/>
      <c r="EC691" s="84"/>
      <c r="EG691" s="84"/>
      <c r="EK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128"/>
      <c r="AA692" s="129"/>
      <c r="AC692" s="130"/>
      <c r="AD692" s="128"/>
      <c r="AE692" s="129"/>
      <c r="AG692" s="130"/>
      <c r="AH692" s="128"/>
      <c r="AI692" s="129"/>
      <c r="AK692" s="130"/>
      <c r="AL692" s="128"/>
      <c r="AM692" s="129"/>
      <c r="AO692" s="130"/>
      <c r="AP692" s="128"/>
      <c r="AQ692" s="129"/>
      <c r="AS692" s="130"/>
      <c r="AT692" s="128"/>
      <c r="AU692" s="129"/>
      <c r="AW692" s="130"/>
      <c r="AX692" s="85"/>
      <c r="AY692" s="84"/>
      <c r="AZ692" s="84"/>
      <c r="BA692" s="131"/>
      <c r="BB692" s="84"/>
      <c r="BE692" s="84"/>
      <c r="BI692" s="86"/>
      <c r="BO692" s="84"/>
      <c r="BT692" s="84"/>
      <c r="BY692" s="84"/>
      <c r="CD692" s="84"/>
      <c r="CI692" s="128"/>
      <c r="CJ692" s="129"/>
      <c r="CL692" s="132"/>
      <c r="CM692" s="128"/>
      <c r="CN692" s="129"/>
      <c r="CP692" s="132"/>
      <c r="CQ692" s="128"/>
      <c r="CR692" s="129"/>
      <c r="CT692" s="132"/>
      <c r="CU692" s="128"/>
      <c r="CV692" s="129"/>
      <c r="CX692" s="132"/>
      <c r="CY692" s="128"/>
      <c r="CZ692" s="129"/>
      <c r="DB692" s="132"/>
      <c r="DC692" s="128"/>
      <c r="DD692" s="129"/>
      <c r="DF692" s="132"/>
      <c r="DG692" s="85"/>
      <c r="DH692" s="85"/>
      <c r="DI692" s="84"/>
      <c r="DK692" s="84"/>
      <c r="DP692" s="84"/>
      <c r="DU692" s="84"/>
      <c r="DY692" s="84"/>
      <c r="EC692" s="84"/>
      <c r="EG692" s="84"/>
      <c r="EK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128"/>
      <c r="AA693" s="129"/>
      <c r="AC693" s="130"/>
      <c r="AD693" s="128"/>
      <c r="AE693" s="129"/>
      <c r="AG693" s="130"/>
      <c r="AH693" s="128"/>
      <c r="AI693" s="129"/>
      <c r="AK693" s="130"/>
      <c r="AL693" s="128"/>
      <c r="AM693" s="129"/>
      <c r="AO693" s="130"/>
      <c r="AP693" s="128"/>
      <c r="AQ693" s="129"/>
      <c r="AS693" s="130"/>
      <c r="AT693" s="128"/>
      <c r="AU693" s="129"/>
      <c r="AW693" s="130"/>
      <c r="AX693" s="85"/>
      <c r="AY693" s="84"/>
      <c r="AZ693" s="84"/>
      <c r="BA693" s="131"/>
      <c r="BB693" s="84"/>
      <c r="BE693" s="84"/>
      <c r="BI693" s="86"/>
      <c r="BO693" s="84"/>
      <c r="BT693" s="84"/>
      <c r="BY693" s="84"/>
      <c r="CD693" s="84"/>
      <c r="CI693" s="128"/>
      <c r="CJ693" s="129"/>
      <c r="CL693" s="132"/>
      <c r="CM693" s="128"/>
      <c r="CN693" s="129"/>
      <c r="CP693" s="132"/>
      <c r="CQ693" s="128"/>
      <c r="CR693" s="129"/>
      <c r="CT693" s="132"/>
      <c r="CU693" s="128"/>
      <c r="CV693" s="129"/>
      <c r="CX693" s="132"/>
      <c r="CY693" s="128"/>
      <c r="CZ693" s="129"/>
      <c r="DB693" s="132"/>
      <c r="DC693" s="128"/>
      <c r="DD693" s="129"/>
      <c r="DF693" s="132"/>
      <c r="DG693" s="85"/>
      <c r="DH693" s="85"/>
      <c r="DI693" s="84"/>
      <c r="DK693" s="84"/>
      <c r="DP693" s="84"/>
      <c r="DU693" s="84"/>
      <c r="DY693" s="84"/>
      <c r="EC693" s="84"/>
      <c r="EG693" s="84"/>
      <c r="EK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128"/>
      <c r="AA694" s="129"/>
      <c r="AC694" s="130"/>
      <c r="AD694" s="128"/>
      <c r="AE694" s="129"/>
      <c r="AG694" s="130"/>
      <c r="AH694" s="128"/>
      <c r="AI694" s="129"/>
      <c r="AK694" s="130"/>
      <c r="AL694" s="128"/>
      <c r="AM694" s="129"/>
      <c r="AO694" s="130"/>
      <c r="AP694" s="128"/>
      <c r="AQ694" s="129"/>
      <c r="AS694" s="130"/>
      <c r="AT694" s="128"/>
      <c r="AU694" s="129"/>
      <c r="AW694" s="130"/>
      <c r="AX694" s="85"/>
      <c r="AY694" s="84"/>
      <c r="AZ694" s="84"/>
      <c r="BA694" s="131"/>
      <c r="BB694" s="84"/>
      <c r="BE694" s="84"/>
      <c r="BI694" s="86"/>
      <c r="BO694" s="84"/>
      <c r="BT694" s="84"/>
      <c r="BY694" s="84"/>
      <c r="CD694" s="84"/>
      <c r="CI694" s="128"/>
      <c r="CJ694" s="129"/>
      <c r="CL694" s="132"/>
      <c r="CM694" s="128"/>
      <c r="CN694" s="129"/>
      <c r="CP694" s="132"/>
      <c r="CQ694" s="128"/>
      <c r="CR694" s="129"/>
      <c r="CT694" s="132"/>
      <c r="CU694" s="128"/>
      <c r="CV694" s="129"/>
      <c r="CX694" s="132"/>
      <c r="CY694" s="128"/>
      <c r="CZ694" s="129"/>
      <c r="DB694" s="132"/>
      <c r="DC694" s="128"/>
      <c r="DD694" s="129"/>
      <c r="DF694" s="132"/>
      <c r="DG694" s="85"/>
      <c r="DH694" s="85"/>
      <c r="DI694" s="84"/>
      <c r="DK694" s="84"/>
      <c r="DP694" s="84"/>
      <c r="DU694" s="84"/>
      <c r="DY694" s="84"/>
      <c r="EC694" s="84"/>
      <c r="EG694" s="84"/>
      <c r="EK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128"/>
      <c r="AA695" s="129"/>
      <c r="AC695" s="130"/>
      <c r="AD695" s="128"/>
      <c r="AE695" s="129"/>
      <c r="AG695" s="130"/>
      <c r="AH695" s="128"/>
      <c r="AI695" s="129"/>
      <c r="AK695" s="130"/>
      <c r="AL695" s="128"/>
      <c r="AM695" s="129"/>
      <c r="AO695" s="130"/>
      <c r="AP695" s="128"/>
      <c r="AQ695" s="129"/>
      <c r="AS695" s="130"/>
      <c r="AT695" s="128"/>
      <c r="AU695" s="129"/>
      <c r="AW695" s="130"/>
      <c r="AX695" s="85"/>
      <c r="AY695" s="84"/>
      <c r="AZ695" s="84"/>
      <c r="BA695" s="131"/>
      <c r="BB695" s="84"/>
      <c r="BE695" s="84"/>
      <c r="BI695" s="86"/>
      <c r="BO695" s="84"/>
      <c r="BT695" s="84"/>
      <c r="BY695" s="84"/>
      <c r="CD695" s="84"/>
      <c r="CI695" s="128"/>
      <c r="CJ695" s="129"/>
      <c r="CL695" s="132"/>
      <c r="CM695" s="128"/>
      <c r="CN695" s="129"/>
      <c r="CP695" s="132"/>
      <c r="CQ695" s="128"/>
      <c r="CR695" s="129"/>
      <c r="CT695" s="132"/>
      <c r="CU695" s="128"/>
      <c r="CV695" s="129"/>
      <c r="CX695" s="132"/>
      <c r="CY695" s="128"/>
      <c r="CZ695" s="129"/>
      <c r="DB695" s="132"/>
      <c r="DC695" s="128"/>
      <c r="DD695" s="129"/>
      <c r="DF695" s="132"/>
      <c r="DG695" s="85"/>
      <c r="DH695" s="85"/>
      <c r="DI695" s="84"/>
      <c r="DK695" s="84"/>
      <c r="DP695" s="84"/>
      <c r="DU695" s="84"/>
      <c r="DY695" s="84"/>
      <c r="EC695" s="84"/>
      <c r="EG695" s="84"/>
      <c r="EK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128"/>
      <c r="AA696" s="129"/>
      <c r="AC696" s="130"/>
      <c r="AD696" s="128"/>
      <c r="AE696" s="129"/>
      <c r="AG696" s="130"/>
      <c r="AH696" s="128"/>
      <c r="AI696" s="129"/>
      <c r="AK696" s="130"/>
      <c r="AL696" s="128"/>
      <c r="AM696" s="129"/>
      <c r="AO696" s="130"/>
      <c r="AP696" s="128"/>
      <c r="AQ696" s="129"/>
      <c r="AS696" s="130"/>
      <c r="AT696" s="128"/>
      <c r="AU696" s="129"/>
      <c r="AW696" s="130"/>
      <c r="AX696" s="85"/>
      <c r="AY696" s="84"/>
      <c r="AZ696" s="84"/>
      <c r="BA696" s="131"/>
      <c r="BB696" s="84"/>
      <c r="BE696" s="84"/>
      <c r="BI696" s="86"/>
      <c r="BO696" s="84"/>
      <c r="BT696" s="84"/>
      <c r="BY696" s="84"/>
      <c r="CD696" s="84"/>
      <c r="CI696" s="128"/>
      <c r="CJ696" s="129"/>
      <c r="CL696" s="132"/>
      <c r="CM696" s="128"/>
      <c r="CN696" s="129"/>
      <c r="CP696" s="132"/>
      <c r="CQ696" s="128"/>
      <c r="CR696" s="129"/>
      <c r="CT696" s="132"/>
      <c r="CU696" s="128"/>
      <c r="CV696" s="129"/>
      <c r="CX696" s="132"/>
      <c r="CY696" s="128"/>
      <c r="CZ696" s="129"/>
      <c r="DB696" s="132"/>
      <c r="DC696" s="128"/>
      <c r="DD696" s="129"/>
      <c r="DF696" s="132"/>
      <c r="DG696" s="85"/>
      <c r="DH696" s="85"/>
      <c r="DI696" s="84"/>
      <c r="DK696" s="84"/>
      <c r="DP696" s="84"/>
      <c r="DU696" s="84"/>
      <c r="DY696" s="84"/>
      <c r="EC696" s="84"/>
      <c r="EG696" s="84"/>
      <c r="EK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128"/>
      <c r="AA697" s="129"/>
      <c r="AC697" s="130"/>
      <c r="AD697" s="128"/>
      <c r="AE697" s="129"/>
      <c r="AG697" s="130"/>
      <c r="AH697" s="128"/>
      <c r="AI697" s="129"/>
      <c r="AK697" s="130"/>
      <c r="AL697" s="128"/>
      <c r="AM697" s="129"/>
      <c r="AO697" s="130"/>
      <c r="AP697" s="128"/>
      <c r="AQ697" s="129"/>
      <c r="AS697" s="130"/>
      <c r="AT697" s="128"/>
      <c r="AU697" s="129"/>
      <c r="AW697" s="130"/>
      <c r="AX697" s="85"/>
      <c r="AY697" s="84"/>
      <c r="AZ697" s="84"/>
      <c r="BA697" s="131"/>
      <c r="BB697" s="84"/>
      <c r="BE697" s="84"/>
      <c r="BI697" s="86"/>
      <c r="BO697" s="84"/>
      <c r="BT697" s="84"/>
      <c r="BY697" s="84"/>
      <c r="CD697" s="84"/>
      <c r="CI697" s="128"/>
      <c r="CJ697" s="129"/>
      <c r="CL697" s="132"/>
      <c r="CM697" s="128"/>
      <c r="CN697" s="129"/>
      <c r="CP697" s="132"/>
      <c r="CQ697" s="128"/>
      <c r="CR697" s="129"/>
      <c r="CT697" s="132"/>
      <c r="CU697" s="128"/>
      <c r="CV697" s="129"/>
      <c r="CX697" s="132"/>
      <c r="CY697" s="128"/>
      <c r="CZ697" s="129"/>
      <c r="DB697" s="132"/>
      <c r="DC697" s="128"/>
      <c r="DD697" s="129"/>
      <c r="DF697" s="132"/>
      <c r="DG697" s="85"/>
      <c r="DH697" s="85"/>
      <c r="DI697" s="84"/>
      <c r="DK697" s="84"/>
      <c r="DP697" s="84"/>
      <c r="DU697" s="84"/>
      <c r="DY697" s="84"/>
      <c r="EC697" s="84"/>
      <c r="EG697" s="84"/>
      <c r="EK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128"/>
      <c r="AA698" s="129"/>
      <c r="AC698" s="130"/>
      <c r="AD698" s="128"/>
      <c r="AE698" s="129"/>
      <c r="AG698" s="130"/>
      <c r="AH698" s="128"/>
      <c r="AI698" s="129"/>
      <c r="AK698" s="130"/>
      <c r="AL698" s="128"/>
      <c r="AM698" s="129"/>
      <c r="AO698" s="130"/>
      <c r="AP698" s="128"/>
      <c r="AQ698" s="129"/>
      <c r="AS698" s="130"/>
      <c r="AT698" s="128"/>
      <c r="AU698" s="129"/>
      <c r="AW698" s="130"/>
      <c r="AX698" s="85"/>
      <c r="AY698" s="84"/>
      <c r="AZ698" s="84"/>
      <c r="BA698" s="131"/>
      <c r="BB698" s="84"/>
      <c r="BE698" s="84"/>
      <c r="BI698" s="86"/>
      <c r="BO698" s="84"/>
      <c r="BT698" s="84"/>
      <c r="BY698" s="84"/>
      <c r="CD698" s="84"/>
      <c r="CI698" s="128"/>
      <c r="CJ698" s="129"/>
      <c r="CL698" s="132"/>
      <c r="CM698" s="128"/>
      <c r="CN698" s="129"/>
      <c r="CP698" s="132"/>
      <c r="CQ698" s="128"/>
      <c r="CR698" s="129"/>
      <c r="CT698" s="132"/>
      <c r="CU698" s="128"/>
      <c r="CV698" s="129"/>
      <c r="CX698" s="132"/>
      <c r="CY698" s="128"/>
      <c r="CZ698" s="129"/>
      <c r="DB698" s="132"/>
      <c r="DC698" s="128"/>
      <c r="DD698" s="129"/>
      <c r="DF698" s="132"/>
      <c r="DG698" s="85"/>
      <c r="DH698" s="85"/>
      <c r="DI698" s="84"/>
      <c r="DK698" s="84"/>
      <c r="DP698" s="84"/>
      <c r="DU698" s="84"/>
      <c r="DY698" s="84"/>
      <c r="EC698" s="84"/>
      <c r="EG698" s="84"/>
      <c r="EK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128"/>
      <c r="AA699" s="129"/>
      <c r="AC699" s="130"/>
      <c r="AD699" s="128"/>
      <c r="AE699" s="129"/>
      <c r="AG699" s="130"/>
      <c r="AH699" s="128"/>
      <c r="AI699" s="129"/>
      <c r="AK699" s="130"/>
      <c r="AL699" s="128"/>
      <c r="AM699" s="129"/>
      <c r="AO699" s="130"/>
      <c r="AP699" s="128"/>
      <c r="AQ699" s="129"/>
      <c r="AS699" s="130"/>
      <c r="AT699" s="128"/>
      <c r="AU699" s="129"/>
      <c r="AW699" s="130"/>
      <c r="AX699" s="85"/>
      <c r="AY699" s="84"/>
      <c r="AZ699" s="84"/>
      <c r="BA699" s="131"/>
      <c r="BB699" s="84"/>
      <c r="BE699" s="84"/>
      <c r="BI699" s="86"/>
      <c r="BO699" s="84"/>
      <c r="BT699" s="84"/>
      <c r="BY699" s="84"/>
      <c r="CD699" s="84"/>
      <c r="CI699" s="128"/>
      <c r="CJ699" s="129"/>
      <c r="CL699" s="132"/>
      <c r="CM699" s="128"/>
      <c r="CN699" s="129"/>
      <c r="CP699" s="132"/>
      <c r="CQ699" s="128"/>
      <c r="CR699" s="129"/>
      <c r="CT699" s="132"/>
      <c r="CU699" s="128"/>
      <c r="CV699" s="129"/>
      <c r="CX699" s="132"/>
      <c r="CY699" s="128"/>
      <c r="CZ699" s="129"/>
      <c r="DB699" s="132"/>
      <c r="DC699" s="128"/>
      <c r="DD699" s="129"/>
      <c r="DF699" s="132"/>
      <c r="DG699" s="85"/>
      <c r="DH699" s="85"/>
      <c r="DI699" s="84"/>
      <c r="DK699" s="84"/>
      <c r="DP699" s="84"/>
      <c r="DU699" s="84"/>
      <c r="DY699" s="84"/>
      <c r="EC699" s="84"/>
      <c r="EG699" s="84"/>
      <c r="EK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128"/>
      <c r="AA700" s="129"/>
      <c r="AC700" s="130"/>
      <c r="AD700" s="128"/>
      <c r="AE700" s="129"/>
      <c r="AG700" s="130"/>
      <c r="AH700" s="128"/>
      <c r="AI700" s="129"/>
      <c r="AK700" s="130"/>
      <c r="AL700" s="128"/>
      <c r="AM700" s="129"/>
      <c r="AO700" s="130"/>
      <c r="AP700" s="128"/>
      <c r="AQ700" s="129"/>
      <c r="AS700" s="130"/>
      <c r="AT700" s="128"/>
      <c r="AU700" s="129"/>
      <c r="AW700" s="130"/>
      <c r="AX700" s="85"/>
      <c r="AY700" s="84"/>
      <c r="AZ700" s="84"/>
      <c r="BA700" s="131"/>
      <c r="BB700" s="84"/>
      <c r="BE700" s="84"/>
      <c r="BI700" s="86"/>
      <c r="BO700" s="84"/>
      <c r="BT700" s="84"/>
      <c r="BY700" s="84"/>
      <c r="CD700" s="84"/>
      <c r="CI700" s="128"/>
      <c r="CJ700" s="129"/>
      <c r="CL700" s="132"/>
      <c r="CM700" s="128"/>
      <c r="CN700" s="129"/>
      <c r="CP700" s="132"/>
      <c r="CQ700" s="128"/>
      <c r="CR700" s="129"/>
      <c r="CT700" s="132"/>
      <c r="CU700" s="128"/>
      <c r="CV700" s="129"/>
      <c r="CX700" s="132"/>
      <c r="CY700" s="128"/>
      <c r="CZ700" s="129"/>
      <c r="DB700" s="132"/>
      <c r="DC700" s="128"/>
      <c r="DD700" s="129"/>
      <c r="DF700" s="132"/>
      <c r="DG700" s="85"/>
      <c r="DH700" s="85"/>
      <c r="DI700" s="84"/>
      <c r="DK700" s="84"/>
      <c r="DP700" s="84"/>
      <c r="DU700" s="84"/>
      <c r="DY700" s="84"/>
      <c r="EC700" s="84"/>
      <c r="EG700" s="84"/>
      <c r="EK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128"/>
      <c r="AA701" s="129"/>
      <c r="AC701" s="130"/>
      <c r="AD701" s="128"/>
      <c r="AE701" s="129"/>
      <c r="AG701" s="130"/>
      <c r="AH701" s="128"/>
      <c r="AI701" s="129"/>
      <c r="AK701" s="130"/>
      <c r="AL701" s="128"/>
      <c r="AM701" s="129"/>
      <c r="AO701" s="130"/>
      <c r="AP701" s="128"/>
      <c r="AQ701" s="129"/>
      <c r="AS701" s="130"/>
      <c r="AT701" s="128"/>
      <c r="AU701" s="129"/>
      <c r="AW701" s="130"/>
      <c r="AX701" s="85"/>
      <c r="AY701" s="84"/>
      <c r="AZ701" s="84"/>
      <c r="BA701" s="131"/>
      <c r="BB701" s="84"/>
      <c r="BE701" s="84"/>
      <c r="BI701" s="86"/>
      <c r="BO701" s="84"/>
      <c r="BT701" s="84"/>
      <c r="BY701" s="84"/>
      <c r="CD701" s="84"/>
      <c r="CI701" s="128"/>
      <c r="CJ701" s="129"/>
      <c r="CL701" s="132"/>
      <c r="CM701" s="128"/>
      <c r="CN701" s="129"/>
      <c r="CP701" s="132"/>
      <c r="CQ701" s="128"/>
      <c r="CR701" s="129"/>
      <c r="CT701" s="132"/>
      <c r="CU701" s="128"/>
      <c r="CV701" s="129"/>
      <c r="CX701" s="132"/>
      <c r="CY701" s="128"/>
      <c r="CZ701" s="129"/>
      <c r="DB701" s="132"/>
      <c r="DC701" s="128"/>
      <c r="DD701" s="129"/>
      <c r="DF701" s="132"/>
      <c r="DG701" s="85"/>
      <c r="DH701" s="85"/>
      <c r="DI701" s="84"/>
      <c r="DK701" s="84"/>
      <c r="DP701" s="84"/>
      <c r="DU701" s="84"/>
      <c r="DY701" s="84"/>
      <c r="EC701" s="84"/>
      <c r="EG701" s="84"/>
      <c r="EK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128"/>
      <c r="AA702" s="129"/>
      <c r="AC702" s="130"/>
      <c r="AD702" s="128"/>
      <c r="AE702" s="129"/>
      <c r="AG702" s="130"/>
      <c r="AH702" s="128"/>
      <c r="AI702" s="129"/>
      <c r="AK702" s="130"/>
      <c r="AL702" s="128"/>
      <c r="AM702" s="129"/>
      <c r="AO702" s="130"/>
      <c r="AP702" s="128"/>
      <c r="AQ702" s="129"/>
      <c r="AS702" s="130"/>
      <c r="AT702" s="128"/>
      <c r="AU702" s="129"/>
      <c r="AW702" s="130"/>
      <c r="AX702" s="85"/>
      <c r="AY702" s="84"/>
      <c r="AZ702" s="84"/>
      <c r="BA702" s="131"/>
      <c r="BB702" s="84"/>
      <c r="BE702" s="84"/>
      <c r="BI702" s="86"/>
      <c r="BO702" s="84"/>
      <c r="BT702" s="84"/>
      <c r="BY702" s="84"/>
      <c r="CD702" s="84"/>
      <c r="CI702" s="128"/>
      <c r="CJ702" s="129"/>
      <c r="CL702" s="132"/>
      <c r="CM702" s="128"/>
      <c r="CN702" s="129"/>
      <c r="CP702" s="132"/>
      <c r="CQ702" s="128"/>
      <c r="CR702" s="129"/>
      <c r="CT702" s="132"/>
      <c r="CU702" s="128"/>
      <c r="CV702" s="129"/>
      <c r="CX702" s="132"/>
      <c r="CY702" s="128"/>
      <c r="CZ702" s="129"/>
      <c r="DB702" s="132"/>
      <c r="DC702" s="128"/>
      <c r="DD702" s="129"/>
      <c r="DF702" s="132"/>
      <c r="DG702" s="85"/>
      <c r="DH702" s="85"/>
      <c r="DI702" s="84"/>
      <c r="DK702" s="84"/>
      <c r="DP702" s="84"/>
      <c r="DU702" s="84"/>
      <c r="DY702" s="84"/>
      <c r="EC702" s="84"/>
      <c r="EG702" s="84"/>
      <c r="EK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128"/>
      <c r="AA703" s="129"/>
      <c r="AC703" s="130"/>
      <c r="AD703" s="128"/>
      <c r="AE703" s="129"/>
      <c r="AG703" s="130"/>
      <c r="AH703" s="128"/>
      <c r="AI703" s="129"/>
      <c r="AK703" s="130"/>
      <c r="AL703" s="128"/>
      <c r="AM703" s="129"/>
      <c r="AO703" s="130"/>
      <c r="AP703" s="128"/>
      <c r="AQ703" s="129"/>
      <c r="AS703" s="130"/>
      <c r="AT703" s="128"/>
      <c r="AU703" s="129"/>
      <c r="AW703" s="130"/>
      <c r="AX703" s="85"/>
      <c r="AY703" s="84"/>
      <c r="AZ703" s="84"/>
      <c r="BA703" s="131"/>
      <c r="BB703" s="84"/>
      <c r="BE703" s="84"/>
      <c r="BI703" s="86"/>
      <c r="BO703" s="84"/>
      <c r="BT703" s="84"/>
      <c r="BY703" s="84"/>
      <c r="CD703" s="84"/>
      <c r="CI703" s="128"/>
      <c r="CJ703" s="129"/>
      <c r="CL703" s="132"/>
      <c r="CM703" s="128"/>
      <c r="CN703" s="129"/>
      <c r="CP703" s="132"/>
      <c r="CQ703" s="128"/>
      <c r="CR703" s="129"/>
      <c r="CT703" s="132"/>
      <c r="CU703" s="128"/>
      <c r="CV703" s="129"/>
      <c r="CX703" s="132"/>
      <c r="CY703" s="128"/>
      <c r="CZ703" s="129"/>
      <c r="DB703" s="132"/>
      <c r="DC703" s="128"/>
      <c r="DD703" s="129"/>
      <c r="DF703" s="132"/>
      <c r="DG703" s="85"/>
      <c r="DH703" s="85"/>
      <c r="DI703" s="84"/>
      <c r="DK703" s="84"/>
      <c r="DP703" s="84"/>
      <c r="DU703" s="84"/>
      <c r="DY703" s="84"/>
      <c r="EC703" s="84"/>
      <c r="EG703" s="84"/>
      <c r="EK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128"/>
      <c r="AA704" s="129"/>
      <c r="AC704" s="130"/>
      <c r="AD704" s="128"/>
      <c r="AE704" s="129"/>
      <c r="AG704" s="130"/>
      <c r="AH704" s="128"/>
      <c r="AI704" s="129"/>
      <c r="AK704" s="130"/>
      <c r="AL704" s="128"/>
      <c r="AM704" s="129"/>
      <c r="AO704" s="130"/>
      <c r="AP704" s="128"/>
      <c r="AQ704" s="129"/>
      <c r="AS704" s="130"/>
      <c r="AT704" s="128"/>
      <c r="AU704" s="129"/>
      <c r="AW704" s="130"/>
      <c r="AX704" s="85"/>
      <c r="AY704" s="84"/>
      <c r="AZ704" s="84"/>
      <c r="BA704" s="131"/>
      <c r="BB704" s="84"/>
      <c r="BE704" s="84"/>
      <c r="BI704" s="86"/>
      <c r="BO704" s="84"/>
      <c r="BT704" s="84"/>
      <c r="BY704" s="84"/>
      <c r="CD704" s="84"/>
      <c r="CI704" s="128"/>
      <c r="CJ704" s="129"/>
      <c r="CL704" s="132"/>
      <c r="CM704" s="128"/>
      <c r="CN704" s="129"/>
      <c r="CP704" s="132"/>
      <c r="CQ704" s="128"/>
      <c r="CR704" s="129"/>
      <c r="CT704" s="132"/>
      <c r="CU704" s="128"/>
      <c r="CV704" s="129"/>
      <c r="CX704" s="132"/>
      <c r="CY704" s="128"/>
      <c r="CZ704" s="129"/>
      <c r="DB704" s="132"/>
      <c r="DC704" s="128"/>
      <c r="DD704" s="129"/>
      <c r="DF704" s="132"/>
      <c r="DG704" s="85"/>
      <c r="DH704" s="85"/>
      <c r="DI704" s="84"/>
      <c r="DK704" s="84"/>
      <c r="DP704" s="84"/>
      <c r="DU704" s="84"/>
      <c r="DY704" s="84"/>
      <c r="EC704" s="84"/>
      <c r="EG704" s="84"/>
      <c r="EK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128"/>
      <c r="AA705" s="129"/>
      <c r="AC705" s="130"/>
      <c r="AD705" s="128"/>
      <c r="AE705" s="129"/>
      <c r="AG705" s="130"/>
      <c r="AH705" s="128"/>
      <c r="AI705" s="129"/>
      <c r="AK705" s="130"/>
      <c r="AL705" s="128"/>
      <c r="AM705" s="129"/>
      <c r="AO705" s="130"/>
      <c r="AP705" s="128"/>
      <c r="AQ705" s="129"/>
      <c r="AS705" s="130"/>
      <c r="AT705" s="128"/>
      <c r="AU705" s="129"/>
      <c r="AW705" s="130"/>
      <c r="AX705" s="85"/>
      <c r="AY705" s="84"/>
      <c r="AZ705" s="84"/>
      <c r="BA705" s="131"/>
      <c r="BB705" s="84"/>
      <c r="BE705" s="84"/>
      <c r="BI705" s="86"/>
      <c r="BO705" s="84"/>
      <c r="BT705" s="84"/>
      <c r="BY705" s="84"/>
      <c r="CD705" s="84"/>
      <c r="CI705" s="128"/>
      <c r="CJ705" s="129"/>
      <c r="CL705" s="132"/>
      <c r="CM705" s="128"/>
      <c r="CN705" s="129"/>
      <c r="CP705" s="132"/>
      <c r="CQ705" s="128"/>
      <c r="CR705" s="129"/>
      <c r="CT705" s="132"/>
      <c r="CU705" s="128"/>
      <c r="CV705" s="129"/>
      <c r="CX705" s="132"/>
      <c r="CY705" s="128"/>
      <c r="CZ705" s="129"/>
      <c r="DB705" s="132"/>
      <c r="DC705" s="128"/>
      <c r="DD705" s="129"/>
      <c r="DF705" s="132"/>
      <c r="DG705" s="85"/>
      <c r="DH705" s="85"/>
      <c r="DI705" s="84"/>
      <c r="DK705" s="84"/>
      <c r="DP705" s="84"/>
      <c r="DU705" s="84"/>
      <c r="DY705" s="84"/>
      <c r="EC705" s="84"/>
      <c r="EG705" s="84"/>
      <c r="EK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128"/>
      <c r="AA706" s="129"/>
      <c r="AC706" s="130"/>
      <c r="AD706" s="128"/>
      <c r="AE706" s="129"/>
      <c r="AG706" s="130"/>
      <c r="AH706" s="128"/>
      <c r="AI706" s="129"/>
      <c r="AK706" s="130"/>
      <c r="AL706" s="128"/>
      <c r="AM706" s="129"/>
      <c r="AO706" s="130"/>
      <c r="AP706" s="128"/>
      <c r="AQ706" s="129"/>
      <c r="AS706" s="130"/>
      <c r="AT706" s="128"/>
      <c r="AU706" s="129"/>
      <c r="AW706" s="130"/>
      <c r="AX706" s="85"/>
      <c r="AY706" s="84"/>
      <c r="AZ706" s="84"/>
      <c r="BA706" s="131"/>
      <c r="BB706" s="84"/>
      <c r="BE706" s="84"/>
      <c r="BI706" s="86"/>
      <c r="BO706" s="84"/>
      <c r="BT706" s="84"/>
      <c r="BY706" s="84"/>
      <c r="CD706" s="84"/>
      <c r="CI706" s="128"/>
      <c r="CJ706" s="129"/>
      <c r="CL706" s="132"/>
      <c r="CM706" s="128"/>
      <c r="CN706" s="129"/>
      <c r="CP706" s="132"/>
      <c r="CQ706" s="128"/>
      <c r="CR706" s="129"/>
      <c r="CT706" s="132"/>
      <c r="CU706" s="128"/>
      <c r="CV706" s="129"/>
      <c r="CX706" s="132"/>
      <c r="CY706" s="128"/>
      <c r="CZ706" s="129"/>
      <c r="DB706" s="132"/>
      <c r="DC706" s="128"/>
      <c r="DD706" s="129"/>
      <c r="DF706" s="132"/>
      <c r="DG706" s="85"/>
      <c r="DH706" s="85"/>
      <c r="DI706" s="84"/>
      <c r="DK706" s="84"/>
      <c r="DP706" s="84"/>
      <c r="DU706" s="84"/>
      <c r="DY706" s="84"/>
      <c r="EC706" s="84"/>
      <c r="EG706" s="84"/>
      <c r="EK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128"/>
      <c r="AA707" s="129"/>
      <c r="AC707" s="130"/>
      <c r="AD707" s="128"/>
      <c r="AE707" s="129"/>
      <c r="AG707" s="130"/>
      <c r="AH707" s="128"/>
      <c r="AI707" s="129"/>
      <c r="AK707" s="130"/>
      <c r="AL707" s="128"/>
      <c r="AM707" s="129"/>
      <c r="AO707" s="130"/>
      <c r="AP707" s="128"/>
      <c r="AQ707" s="129"/>
      <c r="AS707" s="130"/>
      <c r="AT707" s="128"/>
      <c r="AU707" s="129"/>
      <c r="AW707" s="130"/>
      <c r="AX707" s="85"/>
      <c r="AY707" s="84"/>
      <c r="AZ707" s="84"/>
      <c r="BA707" s="131"/>
      <c r="BB707" s="84"/>
      <c r="BE707" s="84"/>
      <c r="BI707" s="86"/>
      <c r="BO707" s="84"/>
      <c r="BT707" s="84"/>
      <c r="BY707" s="84"/>
      <c r="CD707" s="84"/>
      <c r="CI707" s="128"/>
      <c r="CJ707" s="129"/>
      <c r="CL707" s="132"/>
      <c r="CM707" s="128"/>
      <c r="CN707" s="129"/>
      <c r="CP707" s="132"/>
      <c r="CQ707" s="128"/>
      <c r="CR707" s="129"/>
      <c r="CT707" s="132"/>
      <c r="CU707" s="128"/>
      <c r="CV707" s="129"/>
      <c r="CX707" s="132"/>
      <c r="CY707" s="128"/>
      <c r="CZ707" s="129"/>
      <c r="DB707" s="132"/>
      <c r="DC707" s="128"/>
      <c r="DD707" s="129"/>
      <c r="DF707" s="132"/>
      <c r="DG707" s="85"/>
      <c r="DH707" s="85"/>
      <c r="DI707" s="84"/>
      <c r="DK707" s="84"/>
      <c r="DP707" s="84"/>
      <c r="DU707" s="84"/>
      <c r="DY707" s="84"/>
      <c r="EC707" s="84"/>
      <c r="EG707" s="84"/>
      <c r="EK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128"/>
      <c r="AA708" s="129"/>
      <c r="AC708" s="130"/>
      <c r="AD708" s="128"/>
      <c r="AE708" s="129"/>
      <c r="AG708" s="130"/>
      <c r="AH708" s="128"/>
      <c r="AI708" s="129"/>
      <c r="AK708" s="130"/>
      <c r="AL708" s="128"/>
      <c r="AM708" s="129"/>
      <c r="AO708" s="130"/>
      <c r="AP708" s="128"/>
      <c r="AQ708" s="129"/>
      <c r="AS708" s="130"/>
      <c r="AT708" s="128"/>
      <c r="AU708" s="129"/>
      <c r="AW708" s="130"/>
      <c r="AX708" s="85"/>
      <c r="AY708" s="84"/>
      <c r="AZ708" s="84"/>
      <c r="BA708" s="131"/>
      <c r="BB708" s="84"/>
      <c r="BE708" s="84"/>
      <c r="BI708" s="86"/>
      <c r="BO708" s="84"/>
      <c r="BT708" s="84"/>
      <c r="BY708" s="84"/>
      <c r="CD708" s="84"/>
      <c r="CI708" s="128"/>
      <c r="CJ708" s="129"/>
      <c r="CL708" s="132"/>
      <c r="CM708" s="128"/>
      <c r="CN708" s="129"/>
      <c r="CP708" s="132"/>
      <c r="CQ708" s="128"/>
      <c r="CR708" s="129"/>
      <c r="CT708" s="132"/>
      <c r="CU708" s="128"/>
      <c r="CV708" s="129"/>
      <c r="CX708" s="132"/>
      <c r="CY708" s="128"/>
      <c r="CZ708" s="129"/>
      <c r="DB708" s="132"/>
      <c r="DC708" s="128"/>
      <c r="DD708" s="129"/>
      <c r="DF708" s="132"/>
      <c r="DG708" s="85"/>
      <c r="DH708" s="85"/>
      <c r="DI708" s="84"/>
      <c r="DK708" s="84"/>
      <c r="DP708" s="84"/>
      <c r="DU708" s="84"/>
      <c r="DY708" s="84"/>
      <c r="EC708" s="84"/>
      <c r="EG708" s="84"/>
      <c r="EK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128"/>
      <c r="AA709" s="129"/>
      <c r="AC709" s="130"/>
      <c r="AD709" s="128"/>
      <c r="AE709" s="129"/>
      <c r="AG709" s="130"/>
      <c r="AH709" s="128"/>
      <c r="AI709" s="129"/>
      <c r="AK709" s="130"/>
      <c r="AL709" s="128"/>
      <c r="AM709" s="129"/>
      <c r="AO709" s="130"/>
      <c r="AP709" s="128"/>
      <c r="AQ709" s="129"/>
      <c r="AS709" s="130"/>
      <c r="AT709" s="128"/>
      <c r="AU709" s="129"/>
      <c r="AW709" s="130"/>
      <c r="AX709" s="85"/>
      <c r="AY709" s="84"/>
      <c r="AZ709" s="84"/>
      <c r="BA709" s="131"/>
      <c r="BB709" s="84"/>
      <c r="BE709" s="84"/>
      <c r="BI709" s="86"/>
      <c r="BO709" s="84"/>
      <c r="BT709" s="84"/>
      <c r="BY709" s="84"/>
      <c r="CD709" s="84"/>
      <c r="CI709" s="128"/>
      <c r="CJ709" s="129"/>
      <c r="CL709" s="132"/>
      <c r="CM709" s="128"/>
      <c r="CN709" s="129"/>
      <c r="CP709" s="132"/>
      <c r="CQ709" s="128"/>
      <c r="CR709" s="129"/>
      <c r="CT709" s="132"/>
      <c r="CU709" s="128"/>
      <c r="CV709" s="129"/>
      <c r="CX709" s="132"/>
      <c r="CY709" s="128"/>
      <c r="CZ709" s="129"/>
      <c r="DB709" s="132"/>
      <c r="DC709" s="128"/>
      <c r="DD709" s="129"/>
      <c r="DF709" s="132"/>
      <c r="DG709" s="85"/>
      <c r="DH709" s="85"/>
      <c r="DI709" s="84"/>
      <c r="DK709" s="84"/>
      <c r="DP709" s="84"/>
      <c r="DU709" s="84"/>
      <c r="DY709" s="84"/>
      <c r="EC709" s="84"/>
      <c r="EG709" s="84"/>
      <c r="EK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128"/>
      <c r="AA710" s="129"/>
      <c r="AC710" s="130"/>
      <c r="AD710" s="128"/>
      <c r="AE710" s="129"/>
      <c r="AG710" s="130"/>
      <c r="AH710" s="128"/>
      <c r="AI710" s="129"/>
      <c r="AK710" s="130"/>
      <c r="AL710" s="128"/>
      <c r="AM710" s="129"/>
      <c r="AO710" s="130"/>
      <c r="AP710" s="128"/>
      <c r="AQ710" s="129"/>
      <c r="AS710" s="130"/>
      <c r="AT710" s="128"/>
      <c r="AU710" s="129"/>
      <c r="AW710" s="130"/>
      <c r="AX710" s="85"/>
      <c r="AY710" s="84"/>
      <c r="AZ710" s="84"/>
      <c r="BA710" s="131"/>
      <c r="BB710" s="84"/>
      <c r="BE710" s="84"/>
      <c r="BI710" s="86"/>
      <c r="BO710" s="84"/>
      <c r="BT710" s="84"/>
      <c r="BY710" s="84"/>
      <c r="CD710" s="84"/>
      <c r="CI710" s="128"/>
      <c r="CJ710" s="129"/>
      <c r="CL710" s="132"/>
      <c r="CM710" s="128"/>
      <c r="CN710" s="129"/>
      <c r="CP710" s="132"/>
      <c r="CQ710" s="128"/>
      <c r="CR710" s="129"/>
      <c r="CT710" s="132"/>
      <c r="CU710" s="128"/>
      <c r="CV710" s="129"/>
      <c r="CX710" s="132"/>
      <c r="CY710" s="128"/>
      <c r="CZ710" s="129"/>
      <c r="DB710" s="132"/>
      <c r="DC710" s="128"/>
      <c r="DD710" s="129"/>
      <c r="DF710" s="132"/>
      <c r="DG710" s="85"/>
      <c r="DH710" s="85"/>
      <c r="DI710" s="84"/>
      <c r="DK710" s="84"/>
      <c r="DP710" s="84"/>
      <c r="DU710" s="84"/>
      <c r="DY710" s="84"/>
      <c r="EC710" s="84"/>
      <c r="EG710" s="84"/>
      <c r="EK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128"/>
      <c r="AA711" s="129"/>
      <c r="AC711" s="130"/>
      <c r="AD711" s="128"/>
      <c r="AE711" s="129"/>
      <c r="AG711" s="130"/>
      <c r="AH711" s="128"/>
      <c r="AI711" s="129"/>
      <c r="AK711" s="130"/>
      <c r="AL711" s="128"/>
      <c r="AM711" s="129"/>
      <c r="AO711" s="130"/>
      <c r="AP711" s="128"/>
      <c r="AQ711" s="129"/>
      <c r="AS711" s="130"/>
      <c r="AT711" s="128"/>
      <c r="AU711" s="129"/>
      <c r="AW711" s="130"/>
      <c r="AX711" s="85"/>
      <c r="AY711" s="84"/>
      <c r="AZ711" s="84"/>
      <c r="BA711" s="131"/>
      <c r="BB711" s="84"/>
      <c r="BE711" s="84"/>
      <c r="BI711" s="86"/>
      <c r="BO711" s="84"/>
      <c r="BT711" s="84"/>
      <c r="BY711" s="84"/>
      <c r="CD711" s="84"/>
      <c r="CI711" s="128"/>
      <c r="CJ711" s="129"/>
      <c r="CL711" s="132"/>
      <c r="CM711" s="128"/>
      <c r="CN711" s="129"/>
      <c r="CP711" s="132"/>
      <c r="CQ711" s="128"/>
      <c r="CR711" s="129"/>
      <c r="CT711" s="132"/>
      <c r="CU711" s="128"/>
      <c r="CV711" s="129"/>
      <c r="CX711" s="132"/>
      <c r="CY711" s="128"/>
      <c r="CZ711" s="129"/>
      <c r="DB711" s="132"/>
      <c r="DC711" s="128"/>
      <c r="DD711" s="129"/>
      <c r="DF711" s="132"/>
      <c r="DG711" s="85"/>
      <c r="DH711" s="85"/>
      <c r="DI711" s="84"/>
      <c r="DK711" s="84"/>
      <c r="DP711" s="84"/>
      <c r="DU711" s="84"/>
      <c r="DY711" s="84"/>
      <c r="EC711" s="84"/>
      <c r="EG711" s="84"/>
      <c r="EK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128"/>
      <c r="AA712" s="129"/>
      <c r="AC712" s="130"/>
      <c r="AD712" s="128"/>
      <c r="AE712" s="129"/>
      <c r="AG712" s="130"/>
      <c r="AH712" s="128"/>
      <c r="AI712" s="129"/>
      <c r="AK712" s="130"/>
      <c r="AL712" s="128"/>
      <c r="AM712" s="129"/>
      <c r="AO712" s="130"/>
      <c r="AP712" s="128"/>
      <c r="AQ712" s="129"/>
      <c r="AS712" s="130"/>
      <c r="AT712" s="128"/>
      <c r="AU712" s="129"/>
      <c r="AW712" s="130"/>
      <c r="AX712" s="85"/>
      <c r="AY712" s="84"/>
      <c r="AZ712" s="84"/>
      <c r="BA712" s="131"/>
      <c r="BB712" s="84"/>
      <c r="BE712" s="84"/>
      <c r="BI712" s="86"/>
      <c r="BO712" s="84"/>
      <c r="BT712" s="84"/>
      <c r="BY712" s="84"/>
      <c r="CD712" s="84"/>
      <c r="CI712" s="128"/>
      <c r="CJ712" s="129"/>
      <c r="CL712" s="132"/>
      <c r="CM712" s="128"/>
      <c r="CN712" s="129"/>
      <c r="CP712" s="132"/>
      <c r="CQ712" s="128"/>
      <c r="CR712" s="129"/>
      <c r="CT712" s="132"/>
      <c r="CU712" s="128"/>
      <c r="CV712" s="129"/>
      <c r="CX712" s="132"/>
      <c r="CY712" s="128"/>
      <c r="CZ712" s="129"/>
      <c r="DB712" s="132"/>
      <c r="DC712" s="128"/>
      <c r="DD712" s="129"/>
      <c r="DF712" s="132"/>
      <c r="DG712" s="85"/>
      <c r="DH712" s="85"/>
      <c r="DI712" s="84"/>
      <c r="DK712" s="84"/>
      <c r="DP712" s="84"/>
      <c r="DU712" s="84"/>
      <c r="DY712" s="84"/>
      <c r="EC712" s="84"/>
      <c r="EG712" s="84"/>
      <c r="EK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128"/>
      <c r="AA713" s="129"/>
      <c r="AC713" s="130"/>
      <c r="AD713" s="128"/>
      <c r="AE713" s="129"/>
      <c r="AG713" s="130"/>
      <c r="AH713" s="128"/>
      <c r="AI713" s="129"/>
      <c r="AK713" s="130"/>
      <c r="AL713" s="128"/>
      <c r="AM713" s="129"/>
      <c r="AO713" s="130"/>
      <c r="AP713" s="128"/>
      <c r="AQ713" s="129"/>
      <c r="AS713" s="130"/>
      <c r="AT713" s="128"/>
      <c r="AU713" s="129"/>
      <c r="AW713" s="130"/>
      <c r="AX713" s="85"/>
      <c r="AY713" s="84"/>
      <c r="AZ713" s="84"/>
      <c r="BA713" s="131"/>
      <c r="BB713" s="84"/>
      <c r="BE713" s="84"/>
      <c r="BI713" s="86"/>
      <c r="BO713" s="84"/>
      <c r="BT713" s="84"/>
      <c r="BY713" s="84"/>
      <c r="CD713" s="84"/>
      <c r="CI713" s="128"/>
      <c r="CJ713" s="129"/>
      <c r="CL713" s="132"/>
      <c r="CM713" s="128"/>
      <c r="CN713" s="129"/>
      <c r="CP713" s="132"/>
      <c r="CQ713" s="128"/>
      <c r="CR713" s="129"/>
      <c r="CT713" s="132"/>
      <c r="CU713" s="128"/>
      <c r="CV713" s="129"/>
      <c r="CX713" s="132"/>
      <c r="CY713" s="128"/>
      <c r="CZ713" s="129"/>
      <c r="DB713" s="132"/>
      <c r="DC713" s="128"/>
      <c r="DD713" s="129"/>
      <c r="DF713" s="132"/>
      <c r="DG713" s="85"/>
      <c r="DH713" s="85"/>
      <c r="DI713" s="84"/>
      <c r="DK713" s="84"/>
      <c r="DP713" s="84"/>
      <c r="DU713" s="84"/>
      <c r="DY713" s="84"/>
      <c r="EC713" s="84"/>
      <c r="EG713" s="84"/>
      <c r="EK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128"/>
      <c r="AA714" s="129"/>
      <c r="AC714" s="130"/>
      <c r="AD714" s="128"/>
      <c r="AE714" s="129"/>
      <c r="AG714" s="130"/>
      <c r="AH714" s="128"/>
      <c r="AI714" s="129"/>
      <c r="AK714" s="130"/>
      <c r="AL714" s="128"/>
      <c r="AM714" s="129"/>
      <c r="AO714" s="130"/>
      <c r="AP714" s="128"/>
      <c r="AQ714" s="129"/>
      <c r="AS714" s="130"/>
      <c r="AT714" s="128"/>
      <c r="AU714" s="129"/>
      <c r="AW714" s="130"/>
      <c r="AX714" s="85"/>
      <c r="AY714" s="84"/>
      <c r="AZ714" s="84"/>
      <c r="BA714" s="131"/>
      <c r="BB714" s="84"/>
      <c r="BE714" s="84"/>
      <c r="BI714" s="86"/>
      <c r="BO714" s="84"/>
      <c r="BT714" s="84"/>
      <c r="BY714" s="84"/>
      <c r="CD714" s="84"/>
      <c r="CI714" s="128"/>
      <c r="CJ714" s="129"/>
      <c r="CL714" s="132"/>
      <c r="CM714" s="128"/>
      <c r="CN714" s="129"/>
      <c r="CP714" s="132"/>
      <c r="CQ714" s="128"/>
      <c r="CR714" s="129"/>
      <c r="CT714" s="132"/>
      <c r="CU714" s="128"/>
      <c r="CV714" s="129"/>
      <c r="CX714" s="132"/>
      <c r="CY714" s="128"/>
      <c r="CZ714" s="129"/>
      <c r="DB714" s="132"/>
      <c r="DC714" s="128"/>
      <c r="DD714" s="129"/>
      <c r="DF714" s="132"/>
      <c r="DG714" s="85"/>
      <c r="DH714" s="85"/>
      <c r="DI714" s="84"/>
      <c r="DK714" s="84"/>
      <c r="DP714" s="84"/>
      <c r="DU714" s="84"/>
      <c r="DY714" s="84"/>
      <c r="EC714" s="84"/>
      <c r="EG714" s="84"/>
      <c r="EK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128"/>
      <c r="AA715" s="129"/>
      <c r="AC715" s="130"/>
      <c r="AD715" s="128"/>
      <c r="AE715" s="129"/>
      <c r="AG715" s="130"/>
      <c r="AH715" s="128"/>
      <c r="AI715" s="129"/>
      <c r="AK715" s="130"/>
      <c r="AL715" s="128"/>
      <c r="AM715" s="129"/>
      <c r="AO715" s="130"/>
      <c r="AP715" s="128"/>
      <c r="AQ715" s="129"/>
      <c r="AS715" s="130"/>
      <c r="AT715" s="128"/>
      <c r="AU715" s="129"/>
      <c r="AW715" s="130"/>
      <c r="AX715" s="85"/>
      <c r="AY715" s="84"/>
      <c r="AZ715" s="84"/>
      <c r="BA715" s="131"/>
      <c r="BB715" s="84"/>
      <c r="BE715" s="84"/>
      <c r="BI715" s="86"/>
      <c r="BO715" s="84"/>
      <c r="BT715" s="84"/>
      <c r="BY715" s="84"/>
      <c r="CD715" s="84"/>
      <c r="CI715" s="128"/>
      <c r="CJ715" s="129"/>
      <c r="CL715" s="132"/>
      <c r="CM715" s="128"/>
      <c r="CN715" s="129"/>
      <c r="CP715" s="132"/>
      <c r="CQ715" s="128"/>
      <c r="CR715" s="129"/>
      <c r="CT715" s="132"/>
      <c r="CU715" s="128"/>
      <c r="CV715" s="129"/>
      <c r="CX715" s="132"/>
      <c r="CY715" s="128"/>
      <c r="CZ715" s="129"/>
      <c r="DB715" s="132"/>
      <c r="DC715" s="128"/>
      <c r="DD715" s="129"/>
      <c r="DF715" s="132"/>
      <c r="DG715" s="85"/>
      <c r="DH715" s="85"/>
      <c r="DI715" s="84"/>
      <c r="DK715" s="84"/>
      <c r="DP715" s="84"/>
      <c r="DU715" s="84"/>
      <c r="DY715" s="84"/>
      <c r="EC715" s="84"/>
      <c r="EG715" s="84"/>
      <c r="EK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128"/>
      <c r="AA716" s="129"/>
      <c r="AC716" s="130"/>
      <c r="AD716" s="128"/>
      <c r="AE716" s="129"/>
      <c r="AG716" s="130"/>
      <c r="AH716" s="128"/>
      <c r="AI716" s="129"/>
      <c r="AK716" s="130"/>
      <c r="AL716" s="128"/>
      <c r="AM716" s="129"/>
      <c r="AO716" s="130"/>
      <c r="AP716" s="128"/>
      <c r="AQ716" s="129"/>
      <c r="AS716" s="130"/>
      <c r="AT716" s="128"/>
      <c r="AU716" s="129"/>
      <c r="AW716" s="130"/>
      <c r="AX716" s="85"/>
      <c r="AY716" s="84"/>
      <c r="AZ716" s="84"/>
      <c r="BA716" s="131"/>
      <c r="BB716" s="84"/>
      <c r="BE716" s="84"/>
      <c r="BI716" s="86"/>
      <c r="BO716" s="84"/>
      <c r="BT716" s="84"/>
      <c r="BY716" s="84"/>
      <c r="CD716" s="84"/>
      <c r="CI716" s="128"/>
      <c r="CJ716" s="129"/>
      <c r="CL716" s="132"/>
      <c r="CM716" s="128"/>
      <c r="CN716" s="129"/>
      <c r="CP716" s="132"/>
      <c r="CQ716" s="128"/>
      <c r="CR716" s="129"/>
      <c r="CT716" s="132"/>
      <c r="CU716" s="128"/>
      <c r="CV716" s="129"/>
      <c r="CX716" s="132"/>
      <c r="CY716" s="128"/>
      <c r="CZ716" s="129"/>
      <c r="DB716" s="132"/>
      <c r="DC716" s="128"/>
      <c r="DD716" s="129"/>
      <c r="DF716" s="132"/>
      <c r="DG716" s="85"/>
      <c r="DH716" s="85"/>
      <c r="DI716" s="84"/>
      <c r="DK716" s="84"/>
      <c r="DP716" s="84"/>
      <c r="DU716" s="84"/>
      <c r="DY716" s="84"/>
      <c r="EC716" s="84"/>
      <c r="EG716" s="84"/>
      <c r="EK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128"/>
      <c r="AA717" s="129"/>
      <c r="AC717" s="130"/>
      <c r="AD717" s="128"/>
      <c r="AE717" s="129"/>
      <c r="AG717" s="130"/>
      <c r="AH717" s="128"/>
      <c r="AI717" s="129"/>
      <c r="AK717" s="130"/>
      <c r="AL717" s="128"/>
      <c r="AM717" s="129"/>
      <c r="AO717" s="130"/>
      <c r="AP717" s="128"/>
      <c r="AQ717" s="129"/>
      <c r="AS717" s="130"/>
      <c r="AT717" s="128"/>
      <c r="AU717" s="129"/>
      <c r="AW717" s="130"/>
      <c r="AX717" s="85"/>
      <c r="AY717" s="84"/>
      <c r="AZ717" s="84"/>
      <c r="BA717" s="131"/>
      <c r="BB717" s="84"/>
      <c r="BE717" s="84"/>
      <c r="BI717" s="86"/>
      <c r="BO717" s="84"/>
      <c r="BT717" s="84"/>
      <c r="BY717" s="84"/>
      <c r="CD717" s="84"/>
      <c r="CI717" s="128"/>
      <c r="CJ717" s="129"/>
      <c r="CL717" s="132"/>
      <c r="CM717" s="128"/>
      <c r="CN717" s="129"/>
      <c r="CP717" s="132"/>
      <c r="CQ717" s="128"/>
      <c r="CR717" s="129"/>
      <c r="CT717" s="132"/>
      <c r="CU717" s="128"/>
      <c r="CV717" s="129"/>
      <c r="CX717" s="132"/>
      <c r="CY717" s="128"/>
      <c r="CZ717" s="129"/>
      <c r="DB717" s="132"/>
      <c r="DC717" s="128"/>
      <c r="DD717" s="129"/>
      <c r="DF717" s="132"/>
      <c r="DG717" s="85"/>
      <c r="DH717" s="85"/>
      <c r="DI717" s="84"/>
      <c r="DK717" s="84"/>
      <c r="DP717" s="84"/>
      <c r="DU717" s="84"/>
      <c r="DY717" s="84"/>
      <c r="EC717" s="84"/>
      <c r="EG717" s="84"/>
      <c r="EK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128"/>
      <c r="AA718" s="129"/>
      <c r="AC718" s="130"/>
      <c r="AD718" s="128"/>
      <c r="AE718" s="129"/>
      <c r="AG718" s="130"/>
      <c r="AH718" s="128"/>
      <c r="AI718" s="129"/>
      <c r="AK718" s="130"/>
      <c r="AL718" s="128"/>
      <c r="AM718" s="129"/>
      <c r="AO718" s="130"/>
      <c r="AP718" s="128"/>
      <c r="AQ718" s="129"/>
      <c r="AS718" s="130"/>
      <c r="AT718" s="128"/>
      <c r="AU718" s="129"/>
      <c r="AW718" s="130"/>
      <c r="AX718" s="85"/>
      <c r="AY718" s="84"/>
      <c r="AZ718" s="84"/>
      <c r="BA718" s="131"/>
      <c r="BB718" s="84"/>
      <c r="BE718" s="84"/>
      <c r="BI718" s="86"/>
      <c r="BO718" s="84"/>
      <c r="BT718" s="84"/>
      <c r="BY718" s="84"/>
      <c r="CD718" s="84"/>
      <c r="CI718" s="128"/>
      <c r="CJ718" s="129"/>
      <c r="CL718" s="132"/>
      <c r="CM718" s="128"/>
      <c r="CN718" s="129"/>
      <c r="CP718" s="132"/>
      <c r="CQ718" s="128"/>
      <c r="CR718" s="129"/>
      <c r="CT718" s="132"/>
      <c r="CU718" s="128"/>
      <c r="CV718" s="129"/>
      <c r="CX718" s="132"/>
      <c r="CY718" s="128"/>
      <c r="CZ718" s="129"/>
      <c r="DB718" s="132"/>
      <c r="DC718" s="128"/>
      <c r="DD718" s="129"/>
      <c r="DF718" s="132"/>
      <c r="DG718" s="85"/>
      <c r="DH718" s="85"/>
      <c r="DI718" s="84"/>
      <c r="DK718" s="84"/>
      <c r="DP718" s="84"/>
      <c r="DU718" s="84"/>
      <c r="DY718" s="84"/>
      <c r="EC718" s="84"/>
      <c r="EG718" s="84"/>
      <c r="EK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128"/>
      <c r="AA719" s="129"/>
      <c r="AC719" s="130"/>
      <c r="AD719" s="128"/>
      <c r="AE719" s="129"/>
      <c r="AG719" s="130"/>
      <c r="AH719" s="128"/>
      <c r="AI719" s="129"/>
      <c r="AK719" s="130"/>
      <c r="AL719" s="128"/>
      <c r="AM719" s="129"/>
      <c r="AO719" s="130"/>
      <c r="AP719" s="128"/>
      <c r="AQ719" s="129"/>
      <c r="AS719" s="130"/>
      <c r="AT719" s="128"/>
      <c r="AU719" s="129"/>
      <c r="AW719" s="130"/>
      <c r="AX719" s="85"/>
      <c r="AY719" s="84"/>
      <c r="AZ719" s="84"/>
      <c r="BA719" s="131"/>
      <c r="BB719" s="84"/>
      <c r="BE719" s="84"/>
      <c r="BI719" s="86"/>
      <c r="BO719" s="84"/>
      <c r="BT719" s="84"/>
      <c r="BY719" s="84"/>
      <c r="CD719" s="84"/>
      <c r="CI719" s="128"/>
      <c r="CJ719" s="129"/>
      <c r="CL719" s="132"/>
      <c r="CM719" s="128"/>
      <c r="CN719" s="129"/>
      <c r="CP719" s="132"/>
      <c r="CQ719" s="128"/>
      <c r="CR719" s="129"/>
      <c r="CT719" s="132"/>
      <c r="CU719" s="128"/>
      <c r="CV719" s="129"/>
      <c r="CX719" s="132"/>
      <c r="CY719" s="128"/>
      <c r="CZ719" s="129"/>
      <c r="DB719" s="132"/>
      <c r="DC719" s="128"/>
      <c r="DD719" s="129"/>
      <c r="DF719" s="132"/>
      <c r="DG719" s="85"/>
      <c r="DH719" s="85"/>
      <c r="DI719" s="84"/>
      <c r="DK719" s="84"/>
      <c r="DP719" s="84"/>
      <c r="DU719" s="84"/>
      <c r="DY719" s="84"/>
      <c r="EC719" s="84"/>
      <c r="EG719" s="84"/>
      <c r="EK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128"/>
      <c r="AA720" s="129"/>
      <c r="AC720" s="130"/>
      <c r="AD720" s="128"/>
      <c r="AE720" s="129"/>
      <c r="AG720" s="130"/>
      <c r="AH720" s="128"/>
      <c r="AI720" s="129"/>
      <c r="AK720" s="130"/>
      <c r="AL720" s="128"/>
      <c r="AM720" s="129"/>
      <c r="AO720" s="130"/>
      <c r="AP720" s="128"/>
      <c r="AQ720" s="129"/>
      <c r="AS720" s="130"/>
      <c r="AT720" s="128"/>
      <c r="AU720" s="129"/>
      <c r="AW720" s="130"/>
      <c r="AX720" s="85"/>
      <c r="AY720" s="84"/>
      <c r="AZ720" s="84"/>
      <c r="BA720" s="131"/>
      <c r="BB720" s="84"/>
      <c r="BE720" s="84"/>
      <c r="BI720" s="86"/>
      <c r="BO720" s="84"/>
      <c r="BT720" s="84"/>
      <c r="BY720" s="84"/>
      <c r="CD720" s="84"/>
      <c r="CI720" s="128"/>
      <c r="CJ720" s="129"/>
      <c r="CL720" s="132"/>
      <c r="CM720" s="128"/>
      <c r="CN720" s="129"/>
      <c r="CP720" s="132"/>
      <c r="CQ720" s="128"/>
      <c r="CR720" s="129"/>
      <c r="CT720" s="132"/>
      <c r="CU720" s="128"/>
      <c r="CV720" s="129"/>
      <c r="CX720" s="132"/>
      <c r="CY720" s="128"/>
      <c r="CZ720" s="129"/>
      <c r="DB720" s="132"/>
      <c r="DC720" s="128"/>
      <c r="DD720" s="129"/>
      <c r="DF720" s="132"/>
      <c r="DG720" s="85"/>
      <c r="DH720" s="85"/>
      <c r="DI720" s="84"/>
      <c r="DK720" s="84"/>
      <c r="DP720" s="84"/>
      <c r="DU720" s="84"/>
      <c r="DY720" s="84"/>
      <c r="EC720" s="84"/>
      <c r="EG720" s="84"/>
      <c r="EK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128"/>
      <c r="AA721" s="129"/>
      <c r="AC721" s="130"/>
      <c r="AD721" s="128"/>
      <c r="AE721" s="129"/>
      <c r="AG721" s="130"/>
      <c r="AH721" s="128"/>
      <c r="AI721" s="129"/>
      <c r="AK721" s="130"/>
      <c r="AL721" s="128"/>
      <c r="AM721" s="129"/>
      <c r="AO721" s="130"/>
      <c r="AP721" s="128"/>
      <c r="AQ721" s="129"/>
      <c r="AS721" s="130"/>
      <c r="AT721" s="128"/>
      <c r="AU721" s="129"/>
      <c r="AW721" s="130"/>
      <c r="AX721" s="85"/>
      <c r="AY721" s="84"/>
      <c r="AZ721" s="84"/>
      <c r="BA721" s="131"/>
      <c r="BB721" s="84"/>
      <c r="BE721" s="84"/>
      <c r="BI721" s="86"/>
      <c r="BO721" s="84"/>
      <c r="BT721" s="84"/>
      <c r="BY721" s="84"/>
      <c r="CD721" s="84"/>
      <c r="CI721" s="128"/>
      <c r="CJ721" s="129"/>
      <c r="CL721" s="132"/>
      <c r="CM721" s="128"/>
      <c r="CN721" s="129"/>
      <c r="CP721" s="132"/>
      <c r="CQ721" s="128"/>
      <c r="CR721" s="129"/>
      <c r="CT721" s="132"/>
      <c r="CU721" s="128"/>
      <c r="CV721" s="129"/>
      <c r="CX721" s="132"/>
      <c r="CY721" s="128"/>
      <c r="CZ721" s="129"/>
      <c r="DB721" s="132"/>
      <c r="DC721" s="128"/>
      <c r="DD721" s="129"/>
      <c r="DF721" s="132"/>
      <c r="DG721" s="85"/>
      <c r="DH721" s="85"/>
      <c r="DI721" s="84"/>
      <c r="DK721" s="84"/>
      <c r="DP721" s="84"/>
      <c r="DU721" s="84"/>
      <c r="DY721" s="84"/>
      <c r="EC721" s="84"/>
      <c r="EG721" s="84"/>
      <c r="EK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128"/>
      <c r="AA722" s="129"/>
      <c r="AC722" s="130"/>
      <c r="AD722" s="128"/>
      <c r="AE722" s="129"/>
      <c r="AG722" s="130"/>
      <c r="AH722" s="128"/>
      <c r="AI722" s="129"/>
      <c r="AK722" s="130"/>
      <c r="AL722" s="128"/>
      <c r="AM722" s="129"/>
      <c r="AO722" s="130"/>
      <c r="AP722" s="128"/>
      <c r="AQ722" s="129"/>
      <c r="AS722" s="130"/>
      <c r="AT722" s="128"/>
      <c r="AU722" s="129"/>
      <c r="AW722" s="130"/>
      <c r="AX722" s="85"/>
      <c r="AY722" s="84"/>
      <c r="AZ722" s="84"/>
      <c r="BA722" s="131"/>
      <c r="BB722" s="84"/>
      <c r="BE722" s="84"/>
      <c r="BI722" s="86"/>
      <c r="BO722" s="84"/>
      <c r="BT722" s="84"/>
      <c r="BY722" s="84"/>
      <c r="CD722" s="84"/>
      <c r="CI722" s="128"/>
      <c r="CJ722" s="129"/>
      <c r="CL722" s="132"/>
      <c r="CM722" s="128"/>
      <c r="CN722" s="129"/>
      <c r="CP722" s="132"/>
      <c r="CQ722" s="128"/>
      <c r="CR722" s="129"/>
      <c r="CT722" s="132"/>
      <c r="CU722" s="128"/>
      <c r="CV722" s="129"/>
      <c r="CX722" s="132"/>
      <c r="CY722" s="128"/>
      <c r="CZ722" s="129"/>
      <c r="DB722" s="132"/>
      <c r="DC722" s="128"/>
      <c r="DD722" s="129"/>
      <c r="DF722" s="132"/>
      <c r="DG722" s="85"/>
      <c r="DH722" s="85"/>
      <c r="DI722" s="84"/>
      <c r="DK722" s="84"/>
      <c r="DP722" s="84"/>
      <c r="DU722" s="84"/>
      <c r="DY722" s="84"/>
      <c r="EC722" s="84"/>
      <c r="EG722" s="84"/>
      <c r="EK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128"/>
      <c r="AA723" s="129"/>
      <c r="AC723" s="130"/>
      <c r="AD723" s="128"/>
      <c r="AE723" s="129"/>
      <c r="AG723" s="130"/>
      <c r="AH723" s="128"/>
      <c r="AI723" s="129"/>
      <c r="AK723" s="130"/>
      <c r="AL723" s="128"/>
      <c r="AM723" s="129"/>
      <c r="AO723" s="130"/>
      <c r="AP723" s="128"/>
      <c r="AQ723" s="129"/>
      <c r="AS723" s="130"/>
      <c r="AT723" s="128"/>
      <c r="AU723" s="129"/>
      <c r="AW723" s="130"/>
      <c r="AX723" s="85"/>
      <c r="AY723" s="84"/>
      <c r="AZ723" s="84"/>
      <c r="BA723" s="131"/>
      <c r="BB723" s="84"/>
      <c r="BE723" s="84"/>
      <c r="BI723" s="86"/>
      <c r="BO723" s="84"/>
      <c r="BT723" s="84"/>
      <c r="BY723" s="84"/>
      <c r="CD723" s="84"/>
      <c r="CI723" s="128"/>
      <c r="CJ723" s="129"/>
      <c r="CL723" s="132"/>
      <c r="CM723" s="128"/>
      <c r="CN723" s="129"/>
      <c r="CP723" s="132"/>
      <c r="CQ723" s="128"/>
      <c r="CR723" s="129"/>
      <c r="CT723" s="132"/>
      <c r="CU723" s="128"/>
      <c r="CV723" s="129"/>
      <c r="CX723" s="132"/>
      <c r="CY723" s="128"/>
      <c r="CZ723" s="129"/>
      <c r="DB723" s="132"/>
      <c r="DC723" s="128"/>
      <c r="DD723" s="129"/>
      <c r="DF723" s="132"/>
      <c r="DG723" s="85"/>
      <c r="DH723" s="85"/>
      <c r="DI723" s="84"/>
      <c r="DK723" s="84"/>
      <c r="DP723" s="84"/>
      <c r="DU723" s="84"/>
      <c r="DY723" s="84"/>
      <c r="EC723" s="84"/>
      <c r="EG723" s="84"/>
      <c r="EK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128"/>
      <c r="AA724" s="129"/>
      <c r="AC724" s="130"/>
      <c r="AD724" s="128"/>
      <c r="AE724" s="129"/>
      <c r="AG724" s="130"/>
      <c r="AH724" s="128"/>
      <c r="AI724" s="129"/>
      <c r="AK724" s="130"/>
      <c r="AL724" s="128"/>
      <c r="AM724" s="129"/>
      <c r="AO724" s="130"/>
      <c r="AP724" s="128"/>
      <c r="AQ724" s="129"/>
      <c r="AS724" s="130"/>
      <c r="AT724" s="128"/>
      <c r="AU724" s="129"/>
      <c r="AW724" s="130"/>
      <c r="AX724" s="85"/>
      <c r="AY724" s="84"/>
      <c r="AZ724" s="84"/>
      <c r="BA724" s="131"/>
      <c r="BB724" s="84"/>
      <c r="BE724" s="84"/>
      <c r="BI724" s="86"/>
      <c r="BO724" s="84"/>
      <c r="BT724" s="84"/>
      <c r="BY724" s="84"/>
      <c r="CD724" s="84"/>
      <c r="CI724" s="128"/>
      <c r="CJ724" s="129"/>
      <c r="CL724" s="132"/>
      <c r="CM724" s="128"/>
      <c r="CN724" s="129"/>
      <c r="CP724" s="132"/>
      <c r="CQ724" s="128"/>
      <c r="CR724" s="129"/>
      <c r="CT724" s="132"/>
      <c r="CU724" s="128"/>
      <c r="CV724" s="129"/>
      <c r="CX724" s="132"/>
      <c r="CY724" s="128"/>
      <c r="CZ724" s="129"/>
      <c r="DB724" s="132"/>
      <c r="DC724" s="128"/>
      <c r="DD724" s="129"/>
      <c r="DF724" s="132"/>
      <c r="DG724" s="85"/>
      <c r="DH724" s="85"/>
      <c r="DI724" s="84"/>
      <c r="DK724" s="84"/>
      <c r="DP724" s="84"/>
      <c r="DU724" s="84"/>
      <c r="DY724" s="84"/>
      <c r="EC724" s="84"/>
      <c r="EG724" s="84"/>
      <c r="EK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128"/>
      <c r="AA725" s="129"/>
      <c r="AC725" s="130"/>
      <c r="AD725" s="128"/>
      <c r="AE725" s="129"/>
      <c r="AG725" s="130"/>
      <c r="AH725" s="128"/>
      <c r="AI725" s="129"/>
      <c r="AK725" s="130"/>
      <c r="AL725" s="128"/>
      <c r="AM725" s="129"/>
      <c r="AO725" s="130"/>
      <c r="AP725" s="128"/>
      <c r="AQ725" s="129"/>
      <c r="AS725" s="130"/>
      <c r="AT725" s="128"/>
      <c r="AU725" s="129"/>
      <c r="AW725" s="130"/>
      <c r="AX725" s="85"/>
      <c r="AY725" s="84"/>
      <c r="AZ725" s="84"/>
      <c r="BA725" s="131"/>
      <c r="BB725" s="84"/>
      <c r="BE725" s="84"/>
      <c r="BI725" s="86"/>
      <c r="BO725" s="84"/>
      <c r="BT725" s="84"/>
      <c r="BY725" s="84"/>
      <c r="CD725" s="84"/>
      <c r="CI725" s="128"/>
      <c r="CJ725" s="129"/>
      <c r="CL725" s="132"/>
      <c r="CM725" s="128"/>
      <c r="CN725" s="129"/>
      <c r="CP725" s="132"/>
      <c r="CQ725" s="128"/>
      <c r="CR725" s="129"/>
      <c r="CT725" s="132"/>
      <c r="CU725" s="128"/>
      <c r="CV725" s="129"/>
      <c r="CX725" s="132"/>
      <c r="CY725" s="128"/>
      <c r="CZ725" s="129"/>
      <c r="DB725" s="132"/>
      <c r="DC725" s="128"/>
      <c r="DD725" s="129"/>
      <c r="DF725" s="132"/>
      <c r="DG725" s="85"/>
      <c r="DH725" s="85"/>
      <c r="DI725" s="84"/>
      <c r="DK725" s="84"/>
      <c r="DP725" s="84"/>
      <c r="DU725" s="84"/>
      <c r="DY725" s="84"/>
      <c r="EC725" s="84"/>
      <c r="EG725" s="84"/>
      <c r="EK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128"/>
      <c r="AA726" s="129"/>
      <c r="AC726" s="130"/>
      <c r="AD726" s="128"/>
      <c r="AE726" s="129"/>
      <c r="AG726" s="130"/>
      <c r="AH726" s="128"/>
      <c r="AI726" s="129"/>
      <c r="AK726" s="130"/>
      <c r="AL726" s="128"/>
      <c r="AM726" s="129"/>
      <c r="AO726" s="130"/>
      <c r="AP726" s="128"/>
      <c r="AQ726" s="129"/>
      <c r="AS726" s="130"/>
      <c r="AT726" s="128"/>
      <c r="AU726" s="129"/>
      <c r="AW726" s="130"/>
      <c r="AX726" s="85"/>
      <c r="AY726" s="84"/>
      <c r="AZ726" s="84"/>
      <c r="BA726" s="131"/>
      <c r="BB726" s="84"/>
      <c r="BE726" s="84"/>
      <c r="BI726" s="86"/>
      <c r="BO726" s="84"/>
      <c r="BT726" s="84"/>
      <c r="BY726" s="84"/>
      <c r="CD726" s="84"/>
      <c r="CI726" s="128"/>
      <c r="CJ726" s="129"/>
      <c r="CL726" s="132"/>
      <c r="CM726" s="128"/>
      <c r="CN726" s="129"/>
      <c r="CP726" s="132"/>
      <c r="CQ726" s="128"/>
      <c r="CR726" s="129"/>
      <c r="CT726" s="132"/>
      <c r="CU726" s="128"/>
      <c r="CV726" s="129"/>
      <c r="CX726" s="132"/>
      <c r="CY726" s="128"/>
      <c r="CZ726" s="129"/>
      <c r="DB726" s="132"/>
      <c r="DC726" s="128"/>
      <c r="DD726" s="129"/>
      <c r="DF726" s="132"/>
      <c r="DG726" s="85"/>
      <c r="DH726" s="85"/>
      <c r="DI726" s="84"/>
      <c r="DK726" s="84"/>
      <c r="DP726" s="84"/>
      <c r="DU726" s="84"/>
      <c r="DY726" s="84"/>
      <c r="EC726" s="84"/>
      <c r="EG726" s="84"/>
      <c r="EK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128"/>
      <c r="AA727" s="129"/>
      <c r="AC727" s="130"/>
      <c r="AD727" s="128"/>
      <c r="AE727" s="129"/>
      <c r="AG727" s="130"/>
      <c r="AH727" s="128"/>
      <c r="AI727" s="129"/>
      <c r="AK727" s="130"/>
      <c r="AL727" s="128"/>
      <c r="AM727" s="129"/>
      <c r="AO727" s="130"/>
      <c r="AP727" s="128"/>
      <c r="AQ727" s="129"/>
      <c r="AS727" s="130"/>
      <c r="AT727" s="128"/>
      <c r="AU727" s="129"/>
      <c r="AW727" s="130"/>
      <c r="AX727" s="85"/>
      <c r="AY727" s="84"/>
      <c r="AZ727" s="84"/>
      <c r="BA727" s="131"/>
      <c r="BB727" s="84"/>
      <c r="BE727" s="84"/>
      <c r="BI727" s="86"/>
      <c r="BO727" s="84"/>
      <c r="BT727" s="84"/>
      <c r="BY727" s="84"/>
      <c r="CD727" s="84"/>
      <c r="CI727" s="128"/>
      <c r="CJ727" s="129"/>
      <c r="CL727" s="132"/>
      <c r="CM727" s="128"/>
      <c r="CN727" s="129"/>
      <c r="CP727" s="132"/>
      <c r="CQ727" s="128"/>
      <c r="CR727" s="129"/>
      <c r="CT727" s="132"/>
      <c r="CU727" s="128"/>
      <c r="CV727" s="129"/>
      <c r="CX727" s="132"/>
      <c r="CY727" s="128"/>
      <c r="CZ727" s="129"/>
      <c r="DB727" s="132"/>
      <c r="DC727" s="128"/>
      <c r="DD727" s="129"/>
      <c r="DF727" s="132"/>
      <c r="DG727" s="85"/>
      <c r="DH727" s="85"/>
      <c r="DI727" s="84"/>
      <c r="DK727" s="84"/>
      <c r="DP727" s="84"/>
      <c r="DU727" s="84"/>
      <c r="DY727" s="84"/>
      <c r="EC727" s="84"/>
      <c r="EG727" s="84"/>
      <c r="EK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128"/>
      <c r="AA728" s="129"/>
      <c r="AC728" s="130"/>
      <c r="AD728" s="128"/>
      <c r="AE728" s="129"/>
      <c r="AG728" s="130"/>
      <c r="AH728" s="128"/>
      <c r="AI728" s="129"/>
      <c r="AK728" s="130"/>
      <c r="AL728" s="128"/>
      <c r="AM728" s="129"/>
      <c r="AO728" s="130"/>
      <c r="AP728" s="128"/>
      <c r="AQ728" s="129"/>
      <c r="AS728" s="130"/>
      <c r="AT728" s="128"/>
      <c r="AU728" s="129"/>
      <c r="AW728" s="130"/>
      <c r="AX728" s="85"/>
      <c r="AY728" s="84"/>
      <c r="AZ728" s="84"/>
      <c r="BA728" s="131"/>
      <c r="BB728" s="84"/>
      <c r="BE728" s="84"/>
      <c r="BI728" s="86"/>
      <c r="BO728" s="84"/>
      <c r="BT728" s="84"/>
      <c r="BY728" s="84"/>
      <c r="CD728" s="84"/>
      <c r="CI728" s="128"/>
      <c r="CJ728" s="129"/>
      <c r="CL728" s="132"/>
      <c r="CM728" s="128"/>
      <c r="CN728" s="129"/>
      <c r="CP728" s="132"/>
      <c r="CQ728" s="128"/>
      <c r="CR728" s="129"/>
      <c r="CT728" s="132"/>
      <c r="CU728" s="128"/>
      <c r="CV728" s="129"/>
      <c r="CX728" s="132"/>
      <c r="CY728" s="128"/>
      <c r="CZ728" s="129"/>
      <c r="DB728" s="132"/>
      <c r="DC728" s="128"/>
      <c r="DD728" s="129"/>
      <c r="DF728" s="132"/>
      <c r="DG728" s="85"/>
      <c r="DH728" s="85"/>
      <c r="DI728" s="84"/>
      <c r="DK728" s="84"/>
      <c r="DP728" s="84"/>
      <c r="DU728" s="84"/>
      <c r="DY728" s="84"/>
      <c r="EC728" s="84"/>
      <c r="EG728" s="84"/>
      <c r="EK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128"/>
      <c r="AA729" s="129"/>
      <c r="AC729" s="130"/>
      <c r="AD729" s="128"/>
      <c r="AE729" s="129"/>
      <c r="AG729" s="130"/>
      <c r="AH729" s="128"/>
      <c r="AI729" s="129"/>
      <c r="AK729" s="130"/>
      <c r="AL729" s="128"/>
      <c r="AM729" s="129"/>
      <c r="AO729" s="130"/>
      <c r="AP729" s="128"/>
      <c r="AQ729" s="129"/>
      <c r="AS729" s="130"/>
      <c r="AT729" s="128"/>
      <c r="AU729" s="129"/>
      <c r="AW729" s="130"/>
      <c r="AX729" s="85"/>
      <c r="AY729" s="84"/>
      <c r="AZ729" s="84"/>
      <c r="BA729" s="131"/>
      <c r="BB729" s="84"/>
      <c r="BE729" s="84"/>
      <c r="BI729" s="86"/>
      <c r="BO729" s="84"/>
      <c r="BT729" s="84"/>
      <c r="BY729" s="84"/>
      <c r="CD729" s="84"/>
      <c r="CI729" s="128"/>
      <c r="CJ729" s="129"/>
      <c r="CL729" s="132"/>
      <c r="CM729" s="128"/>
      <c r="CN729" s="129"/>
      <c r="CP729" s="132"/>
      <c r="CQ729" s="128"/>
      <c r="CR729" s="129"/>
      <c r="CT729" s="132"/>
      <c r="CU729" s="128"/>
      <c r="CV729" s="129"/>
      <c r="CX729" s="132"/>
      <c r="CY729" s="128"/>
      <c r="CZ729" s="129"/>
      <c r="DB729" s="132"/>
      <c r="DC729" s="128"/>
      <c r="DD729" s="129"/>
      <c r="DF729" s="132"/>
      <c r="DG729" s="85"/>
      <c r="DH729" s="85"/>
      <c r="DI729" s="84"/>
      <c r="DK729" s="84"/>
      <c r="DP729" s="84"/>
      <c r="DU729" s="84"/>
      <c r="DY729" s="84"/>
      <c r="EC729" s="84"/>
      <c r="EG729" s="84"/>
      <c r="EK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128"/>
      <c r="AA730" s="129"/>
      <c r="AC730" s="130"/>
      <c r="AD730" s="128"/>
      <c r="AE730" s="129"/>
      <c r="AG730" s="130"/>
      <c r="AH730" s="128"/>
      <c r="AI730" s="129"/>
      <c r="AK730" s="130"/>
      <c r="AL730" s="128"/>
      <c r="AM730" s="129"/>
      <c r="AO730" s="130"/>
      <c r="AP730" s="128"/>
      <c r="AQ730" s="129"/>
      <c r="AS730" s="130"/>
      <c r="AT730" s="128"/>
      <c r="AU730" s="129"/>
      <c r="AW730" s="130"/>
      <c r="AX730" s="85"/>
      <c r="AY730" s="84"/>
      <c r="AZ730" s="84"/>
      <c r="BA730" s="131"/>
      <c r="BB730" s="84"/>
      <c r="BE730" s="84"/>
      <c r="BI730" s="86"/>
      <c r="BO730" s="84"/>
      <c r="BT730" s="84"/>
      <c r="BY730" s="84"/>
      <c r="CD730" s="84"/>
      <c r="CI730" s="128"/>
      <c r="CJ730" s="129"/>
      <c r="CL730" s="132"/>
      <c r="CM730" s="128"/>
      <c r="CN730" s="129"/>
      <c r="CP730" s="132"/>
      <c r="CQ730" s="128"/>
      <c r="CR730" s="129"/>
      <c r="CT730" s="132"/>
      <c r="CU730" s="128"/>
      <c r="CV730" s="129"/>
      <c r="CX730" s="132"/>
      <c r="CY730" s="128"/>
      <c r="CZ730" s="129"/>
      <c r="DB730" s="132"/>
      <c r="DC730" s="128"/>
      <c r="DD730" s="129"/>
      <c r="DF730" s="132"/>
      <c r="DG730" s="85"/>
      <c r="DH730" s="85"/>
      <c r="DI730" s="84"/>
      <c r="DK730" s="84"/>
      <c r="DP730" s="84"/>
      <c r="DU730" s="84"/>
      <c r="DY730" s="84"/>
      <c r="EC730" s="84"/>
      <c r="EG730" s="84"/>
      <c r="EK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128"/>
      <c r="AA731" s="129"/>
      <c r="AC731" s="130"/>
      <c r="AD731" s="128"/>
      <c r="AE731" s="129"/>
      <c r="AG731" s="130"/>
      <c r="AH731" s="128"/>
      <c r="AI731" s="129"/>
      <c r="AK731" s="130"/>
      <c r="AL731" s="128"/>
      <c r="AM731" s="129"/>
      <c r="AO731" s="130"/>
      <c r="AP731" s="128"/>
      <c r="AQ731" s="129"/>
      <c r="AS731" s="130"/>
      <c r="AT731" s="128"/>
      <c r="AU731" s="129"/>
      <c r="AW731" s="130"/>
      <c r="AX731" s="85"/>
      <c r="AY731" s="84"/>
      <c r="AZ731" s="84"/>
      <c r="BA731" s="131"/>
      <c r="BB731" s="84"/>
      <c r="BE731" s="84"/>
      <c r="BI731" s="86"/>
      <c r="BO731" s="84"/>
      <c r="BT731" s="84"/>
      <c r="BY731" s="84"/>
      <c r="CD731" s="84"/>
      <c r="CI731" s="128"/>
      <c r="CJ731" s="129"/>
      <c r="CL731" s="132"/>
      <c r="CM731" s="128"/>
      <c r="CN731" s="129"/>
      <c r="CP731" s="132"/>
      <c r="CQ731" s="128"/>
      <c r="CR731" s="129"/>
      <c r="CT731" s="132"/>
      <c r="CU731" s="128"/>
      <c r="CV731" s="129"/>
      <c r="CX731" s="132"/>
      <c r="CY731" s="128"/>
      <c r="CZ731" s="129"/>
      <c r="DB731" s="132"/>
      <c r="DC731" s="128"/>
      <c r="DD731" s="129"/>
      <c r="DF731" s="132"/>
      <c r="DG731" s="85"/>
      <c r="DH731" s="85"/>
      <c r="DI731" s="84"/>
      <c r="DK731" s="84"/>
      <c r="DP731" s="84"/>
      <c r="DU731" s="84"/>
      <c r="DY731" s="84"/>
      <c r="EC731" s="84"/>
      <c r="EG731" s="84"/>
      <c r="EK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128"/>
      <c r="AA732" s="129"/>
      <c r="AC732" s="130"/>
      <c r="AD732" s="128"/>
      <c r="AE732" s="129"/>
      <c r="AG732" s="130"/>
      <c r="AH732" s="128"/>
      <c r="AI732" s="129"/>
      <c r="AK732" s="130"/>
      <c r="AL732" s="128"/>
      <c r="AM732" s="129"/>
      <c r="AO732" s="130"/>
      <c r="AP732" s="128"/>
      <c r="AQ732" s="129"/>
      <c r="AS732" s="130"/>
      <c r="AT732" s="128"/>
      <c r="AU732" s="129"/>
      <c r="AW732" s="130"/>
      <c r="AX732" s="85"/>
      <c r="AY732" s="84"/>
      <c r="AZ732" s="84"/>
      <c r="BA732" s="131"/>
      <c r="BB732" s="84"/>
      <c r="BE732" s="84"/>
      <c r="BI732" s="86"/>
      <c r="BO732" s="84"/>
      <c r="BT732" s="84"/>
      <c r="BY732" s="84"/>
      <c r="CD732" s="84"/>
      <c r="CI732" s="128"/>
      <c r="CJ732" s="129"/>
      <c r="CL732" s="132"/>
      <c r="CM732" s="128"/>
      <c r="CN732" s="129"/>
      <c r="CP732" s="132"/>
      <c r="CQ732" s="128"/>
      <c r="CR732" s="129"/>
      <c r="CT732" s="132"/>
      <c r="CU732" s="128"/>
      <c r="CV732" s="129"/>
      <c r="CX732" s="132"/>
      <c r="CY732" s="128"/>
      <c r="CZ732" s="129"/>
      <c r="DB732" s="132"/>
      <c r="DC732" s="128"/>
      <c r="DD732" s="129"/>
      <c r="DF732" s="132"/>
      <c r="DG732" s="85"/>
      <c r="DH732" s="85"/>
      <c r="DI732" s="84"/>
      <c r="DK732" s="84"/>
      <c r="DP732" s="84"/>
      <c r="DU732" s="84"/>
      <c r="DY732" s="84"/>
      <c r="EC732" s="84"/>
      <c r="EG732" s="84"/>
      <c r="EK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128"/>
      <c r="AA733" s="129"/>
      <c r="AC733" s="130"/>
      <c r="AD733" s="128"/>
      <c r="AE733" s="129"/>
      <c r="AG733" s="130"/>
      <c r="AH733" s="128"/>
      <c r="AI733" s="129"/>
      <c r="AK733" s="130"/>
      <c r="AL733" s="128"/>
      <c r="AM733" s="129"/>
      <c r="AO733" s="130"/>
      <c r="AP733" s="128"/>
      <c r="AQ733" s="129"/>
      <c r="AS733" s="130"/>
      <c r="AT733" s="128"/>
      <c r="AU733" s="129"/>
      <c r="AW733" s="130"/>
      <c r="AX733" s="85"/>
      <c r="AY733" s="84"/>
      <c r="AZ733" s="84"/>
      <c r="BA733" s="131"/>
      <c r="BB733" s="84"/>
      <c r="BE733" s="84"/>
      <c r="BI733" s="86"/>
      <c r="BO733" s="84"/>
      <c r="BT733" s="84"/>
      <c r="BY733" s="84"/>
      <c r="CD733" s="84"/>
      <c r="CI733" s="128"/>
      <c r="CJ733" s="129"/>
      <c r="CL733" s="132"/>
      <c r="CM733" s="128"/>
      <c r="CN733" s="129"/>
      <c r="CP733" s="132"/>
      <c r="CQ733" s="128"/>
      <c r="CR733" s="129"/>
      <c r="CT733" s="132"/>
      <c r="CU733" s="128"/>
      <c r="CV733" s="129"/>
      <c r="CX733" s="132"/>
      <c r="CY733" s="128"/>
      <c r="CZ733" s="129"/>
      <c r="DB733" s="132"/>
      <c r="DC733" s="128"/>
      <c r="DD733" s="129"/>
      <c r="DF733" s="132"/>
      <c r="DG733" s="85"/>
      <c r="DH733" s="85"/>
      <c r="DI733" s="84"/>
      <c r="DK733" s="84"/>
      <c r="DP733" s="84"/>
      <c r="DU733" s="84"/>
      <c r="DY733" s="84"/>
      <c r="EC733" s="84"/>
      <c r="EG733" s="84"/>
      <c r="EK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128"/>
      <c r="AA734" s="129"/>
      <c r="AC734" s="130"/>
      <c r="AD734" s="128"/>
      <c r="AE734" s="129"/>
      <c r="AG734" s="130"/>
      <c r="AH734" s="128"/>
      <c r="AI734" s="129"/>
      <c r="AK734" s="130"/>
      <c r="AL734" s="128"/>
      <c r="AM734" s="129"/>
      <c r="AO734" s="130"/>
      <c r="AP734" s="128"/>
      <c r="AQ734" s="129"/>
      <c r="AS734" s="130"/>
      <c r="AT734" s="128"/>
      <c r="AU734" s="129"/>
      <c r="AW734" s="130"/>
      <c r="AX734" s="85"/>
      <c r="AY734" s="84"/>
      <c r="AZ734" s="84"/>
      <c r="BA734" s="131"/>
      <c r="BB734" s="84"/>
      <c r="BE734" s="84"/>
      <c r="BI734" s="86"/>
      <c r="BO734" s="84"/>
      <c r="BT734" s="84"/>
      <c r="BY734" s="84"/>
      <c r="CD734" s="84"/>
      <c r="CI734" s="128"/>
      <c r="CJ734" s="129"/>
      <c r="CL734" s="132"/>
      <c r="CM734" s="128"/>
      <c r="CN734" s="129"/>
      <c r="CP734" s="132"/>
      <c r="CQ734" s="128"/>
      <c r="CR734" s="129"/>
      <c r="CT734" s="132"/>
      <c r="CU734" s="128"/>
      <c r="CV734" s="129"/>
      <c r="CX734" s="132"/>
      <c r="CY734" s="128"/>
      <c r="CZ734" s="129"/>
      <c r="DB734" s="132"/>
      <c r="DC734" s="128"/>
      <c r="DD734" s="129"/>
      <c r="DF734" s="132"/>
      <c r="DG734" s="85"/>
      <c r="DH734" s="85"/>
      <c r="DI734" s="84"/>
      <c r="DK734" s="84"/>
      <c r="DP734" s="84"/>
      <c r="DU734" s="84"/>
      <c r="DY734" s="84"/>
      <c r="EC734" s="84"/>
      <c r="EG734" s="84"/>
      <c r="EK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128"/>
      <c r="AA735" s="129"/>
      <c r="AC735" s="130"/>
      <c r="AD735" s="128"/>
      <c r="AE735" s="129"/>
      <c r="AG735" s="130"/>
      <c r="AH735" s="128"/>
      <c r="AI735" s="129"/>
      <c r="AK735" s="130"/>
      <c r="AL735" s="128"/>
      <c r="AM735" s="129"/>
      <c r="AO735" s="130"/>
      <c r="AP735" s="128"/>
      <c r="AQ735" s="129"/>
      <c r="AS735" s="130"/>
      <c r="AT735" s="128"/>
      <c r="AU735" s="129"/>
      <c r="AW735" s="130"/>
      <c r="AX735" s="85"/>
      <c r="AY735" s="84"/>
      <c r="AZ735" s="84"/>
      <c r="BA735" s="131"/>
      <c r="BB735" s="84"/>
      <c r="BE735" s="84"/>
      <c r="BI735" s="86"/>
      <c r="BO735" s="84"/>
      <c r="BT735" s="84"/>
      <c r="BY735" s="84"/>
      <c r="CD735" s="84"/>
      <c r="CI735" s="128"/>
      <c r="CJ735" s="129"/>
      <c r="CL735" s="132"/>
      <c r="CM735" s="128"/>
      <c r="CN735" s="129"/>
      <c r="CP735" s="132"/>
      <c r="CQ735" s="128"/>
      <c r="CR735" s="129"/>
      <c r="CT735" s="132"/>
      <c r="CU735" s="128"/>
      <c r="CV735" s="129"/>
      <c r="CX735" s="132"/>
      <c r="CY735" s="128"/>
      <c r="CZ735" s="129"/>
      <c r="DB735" s="132"/>
      <c r="DC735" s="128"/>
      <c r="DD735" s="129"/>
      <c r="DF735" s="132"/>
      <c r="DG735" s="85"/>
      <c r="DH735" s="85"/>
      <c r="DI735" s="84"/>
      <c r="DK735" s="84"/>
      <c r="DP735" s="84"/>
      <c r="DU735" s="84"/>
      <c r="DY735" s="84"/>
      <c r="EC735" s="84"/>
      <c r="EG735" s="84"/>
      <c r="EK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128"/>
      <c r="AA736" s="129"/>
      <c r="AC736" s="130"/>
      <c r="AD736" s="128"/>
      <c r="AE736" s="129"/>
      <c r="AG736" s="130"/>
      <c r="AH736" s="128"/>
      <c r="AI736" s="129"/>
      <c r="AK736" s="130"/>
      <c r="AL736" s="128"/>
      <c r="AM736" s="129"/>
      <c r="AO736" s="130"/>
      <c r="AP736" s="128"/>
      <c r="AQ736" s="129"/>
      <c r="AS736" s="130"/>
      <c r="AT736" s="128"/>
      <c r="AU736" s="129"/>
      <c r="AW736" s="130"/>
      <c r="AX736" s="85"/>
      <c r="AY736" s="84"/>
      <c r="AZ736" s="84"/>
      <c r="BA736" s="131"/>
      <c r="BB736" s="84"/>
      <c r="BE736" s="84"/>
      <c r="BI736" s="86"/>
      <c r="BO736" s="84"/>
      <c r="BT736" s="84"/>
      <c r="BY736" s="84"/>
      <c r="CD736" s="84"/>
      <c r="CI736" s="128"/>
      <c r="CJ736" s="129"/>
      <c r="CL736" s="132"/>
      <c r="CM736" s="128"/>
      <c r="CN736" s="129"/>
      <c r="CP736" s="132"/>
      <c r="CQ736" s="128"/>
      <c r="CR736" s="129"/>
      <c r="CT736" s="132"/>
      <c r="CU736" s="128"/>
      <c r="CV736" s="129"/>
      <c r="CX736" s="132"/>
      <c r="CY736" s="128"/>
      <c r="CZ736" s="129"/>
      <c r="DB736" s="132"/>
      <c r="DC736" s="128"/>
      <c r="DD736" s="129"/>
      <c r="DF736" s="132"/>
      <c r="DG736" s="85"/>
      <c r="DH736" s="85"/>
      <c r="DI736" s="84"/>
      <c r="DK736" s="84"/>
      <c r="DP736" s="84"/>
      <c r="DU736" s="84"/>
      <c r="DY736" s="84"/>
      <c r="EC736" s="84"/>
      <c r="EG736" s="84"/>
      <c r="EK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128"/>
      <c r="AA737" s="129"/>
      <c r="AC737" s="130"/>
      <c r="AD737" s="128"/>
      <c r="AE737" s="129"/>
      <c r="AG737" s="130"/>
      <c r="AH737" s="128"/>
      <c r="AI737" s="129"/>
      <c r="AK737" s="130"/>
      <c r="AL737" s="128"/>
      <c r="AM737" s="129"/>
      <c r="AO737" s="130"/>
      <c r="AP737" s="128"/>
      <c r="AQ737" s="129"/>
      <c r="AS737" s="130"/>
      <c r="AT737" s="128"/>
      <c r="AU737" s="129"/>
      <c r="AW737" s="130"/>
      <c r="AX737" s="85"/>
      <c r="AY737" s="84"/>
      <c r="AZ737" s="84"/>
      <c r="BA737" s="131"/>
      <c r="BB737" s="84"/>
      <c r="BE737" s="84"/>
      <c r="BI737" s="86"/>
      <c r="BO737" s="84"/>
      <c r="BT737" s="84"/>
      <c r="BY737" s="84"/>
      <c r="CD737" s="84"/>
      <c r="CI737" s="128"/>
      <c r="CJ737" s="129"/>
      <c r="CL737" s="132"/>
      <c r="CM737" s="128"/>
      <c r="CN737" s="129"/>
      <c r="CP737" s="132"/>
      <c r="CQ737" s="128"/>
      <c r="CR737" s="129"/>
      <c r="CT737" s="132"/>
      <c r="CU737" s="128"/>
      <c r="CV737" s="129"/>
      <c r="CX737" s="132"/>
      <c r="CY737" s="128"/>
      <c r="CZ737" s="129"/>
      <c r="DB737" s="132"/>
      <c r="DC737" s="128"/>
      <c r="DD737" s="129"/>
      <c r="DF737" s="132"/>
      <c r="DG737" s="85"/>
      <c r="DH737" s="85"/>
      <c r="DI737" s="84"/>
      <c r="DK737" s="84"/>
      <c r="DP737" s="84"/>
      <c r="DU737" s="84"/>
      <c r="DY737" s="84"/>
      <c r="EC737" s="84"/>
      <c r="EG737" s="84"/>
      <c r="EK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128"/>
      <c r="AA738" s="129"/>
      <c r="AC738" s="130"/>
      <c r="AD738" s="128"/>
      <c r="AE738" s="129"/>
      <c r="AG738" s="130"/>
      <c r="AH738" s="128"/>
      <c r="AI738" s="129"/>
      <c r="AK738" s="130"/>
      <c r="AL738" s="128"/>
      <c r="AM738" s="129"/>
      <c r="AO738" s="130"/>
      <c r="AP738" s="128"/>
      <c r="AQ738" s="129"/>
      <c r="AS738" s="130"/>
      <c r="AT738" s="128"/>
      <c r="AU738" s="129"/>
      <c r="AW738" s="130"/>
      <c r="AX738" s="85"/>
      <c r="AY738" s="84"/>
      <c r="AZ738" s="84"/>
      <c r="BA738" s="131"/>
      <c r="BB738" s="84"/>
      <c r="BE738" s="84"/>
      <c r="BI738" s="86"/>
      <c r="BO738" s="84"/>
      <c r="BT738" s="84"/>
      <c r="BY738" s="84"/>
      <c r="CD738" s="84"/>
      <c r="CI738" s="128"/>
      <c r="CJ738" s="129"/>
      <c r="CL738" s="132"/>
      <c r="CM738" s="128"/>
      <c r="CN738" s="129"/>
      <c r="CP738" s="132"/>
      <c r="CQ738" s="128"/>
      <c r="CR738" s="129"/>
      <c r="CT738" s="132"/>
      <c r="CU738" s="128"/>
      <c r="CV738" s="129"/>
      <c r="CX738" s="132"/>
      <c r="CY738" s="128"/>
      <c r="CZ738" s="129"/>
      <c r="DB738" s="132"/>
      <c r="DC738" s="128"/>
      <c r="DD738" s="129"/>
      <c r="DF738" s="132"/>
      <c r="DG738" s="85"/>
      <c r="DH738" s="85"/>
      <c r="DI738" s="84"/>
      <c r="DK738" s="84"/>
      <c r="DP738" s="84"/>
      <c r="DU738" s="84"/>
      <c r="DY738" s="84"/>
      <c r="EC738" s="84"/>
      <c r="EG738" s="84"/>
      <c r="EK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128"/>
      <c r="AA739" s="129"/>
      <c r="AC739" s="130"/>
      <c r="AD739" s="128"/>
      <c r="AE739" s="129"/>
      <c r="AG739" s="130"/>
      <c r="AH739" s="128"/>
      <c r="AI739" s="129"/>
      <c r="AK739" s="130"/>
      <c r="AL739" s="128"/>
      <c r="AM739" s="129"/>
      <c r="AO739" s="130"/>
      <c r="AP739" s="128"/>
      <c r="AQ739" s="129"/>
      <c r="AS739" s="130"/>
      <c r="AT739" s="128"/>
      <c r="AU739" s="129"/>
      <c r="AW739" s="130"/>
      <c r="AX739" s="85"/>
      <c r="AY739" s="84"/>
      <c r="AZ739" s="84"/>
      <c r="BA739" s="131"/>
      <c r="BB739" s="84"/>
      <c r="BE739" s="84"/>
      <c r="BI739" s="86"/>
      <c r="BO739" s="84"/>
      <c r="BT739" s="84"/>
      <c r="BY739" s="84"/>
      <c r="CD739" s="84"/>
      <c r="CI739" s="128"/>
      <c r="CJ739" s="129"/>
      <c r="CL739" s="132"/>
      <c r="CM739" s="128"/>
      <c r="CN739" s="129"/>
      <c r="CP739" s="132"/>
      <c r="CQ739" s="128"/>
      <c r="CR739" s="129"/>
      <c r="CT739" s="132"/>
      <c r="CU739" s="128"/>
      <c r="CV739" s="129"/>
      <c r="CX739" s="132"/>
      <c r="CY739" s="128"/>
      <c r="CZ739" s="129"/>
      <c r="DB739" s="132"/>
      <c r="DC739" s="128"/>
      <c r="DD739" s="129"/>
      <c r="DF739" s="132"/>
      <c r="DG739" s="85"/>
      <c r="DH739" s="85"/>
      <c r="DI739" s="84"/>
      <c r="DK739" s="84"/>
      <c r="DP739" s="84"/>
      <c r="DU739" s="84"/>
      <c r="DY739" s="84"/>
      <c r="EC739" s="84"/>
      <c r="EG739" s="84"/>
      <c r="EK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128"/>
      <c r="AA740" s="129"/>
      <c r="AC740" s="130"/>
      <c r="AD740" s="128"/>
      <c r="AE740" s="129"/>
      <c r="AG740" s="130"/>
      <c r="AH740" s="128"/>
      <c r="AI740" s="129"/>
      <c r="AK740" s="130"/>
      <c r="AL740" s="128"/>
      <c r="AM740" s="129"/>
      <c r="AO740" s="130"/>
      <c r="AP740" s="128"/>
      <c r="AQ740" s="129"/>
      <c r="AS740" s="130"/>
      <c r="AT740" s="128"/>
      <c r="AU740" s="129"/>
      <c r="AW740" s="130"/>
      <c r="AX740" s="85"/>
      <c r="AY740" s="84"/>
      <c r="AZ740" s="84"/>
      <c r="BA740" s="131"/>
      <c r="BB740" s="84"/>
      <c r="BE740" s="84"/>
      <c r="BI740" s="86"/>
      <c r="BO740" s="84"/>
      <c r="BT740" s="84"/>
      <c r="BY740" s="84"/>
      <c r="CD740" s="84"/>
      <c r="CI740" s="128"/>
      <c r="CJ740" s="129"/>
      <c r="CL740" s="132"/>
      <c r="CM740" s="128"/>
      <c r="CN740" s="129"/>
      <c r="CP740" s="132"/>
      <c r="CQ740" s="128"/>
      <c r="CR740" s="129"/>
      <c r="CT740" s="132"/>
      <c r="CU740" s="128"/>
      <c r="CV740" s="129"/>
      <c r="CX740" s="132"/>
      <c r="CY740" s="128"/>
      <c r="CZ740" s="129"/>
      <c r="DB740" s="132"/>
      <c r="DC740" s="128"/>
      <c r="DD740" s="129"/>
      <c r="DF740" s="132"/>
      <c r="DG740" s="85"/>
      <c r="DH740" s="85"/>
      <c r="DI740" s="84"/>
      <c r="DK740" s="84"/>
      <c r="DP740" s="84"/>
      <c r="DU740" s="84"/>
      <c r="DY740" s="84"/>
      <c r="EC740" s="84"/>
      <c r="EG740" s="84"/>
      <c r="EK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128"/>
      <c r="AA741" s="129"/>
      <c r="AC741" s="130"/>
      <c r="AD741" s="128"/>
      <c r="AE741" s="129"/>
      <c r="AG741" s="130"/>
      <c r="AH741" s="128"/>
      <c r="AI741" s="129"/>
      <c r="AK741" s="130"/>
      <c r="AL741" s="128"/>
      <c r="AM741" s="129"/>
      <c r="AO741" s="130"/>
      <c r="AP741" s="128"/>
      <c r="AQ741" s="129"/>
      <c r="AS741" s="130"/>
      <c r="AT741" s="128"/>
      <c r="AU741" s="129"/>
      <c r="AW741" s="130"/>
      <c r="AX741" s="85"/>
      <c r="AY741" s="84"/>
      <c r="AZ741" s="84"/>
      <c r="BA741" s="131"/>
      <c r="BB741" s="84"/>
      <c r="BE741" s="84"/>
      <c r="BI741" s="86"/>
      <c r="BO741" s="84"/>
      <c r="BT741" s="84"/>
      <c r="BY741" s="84"/>
      <c r="CD741" s="84"/>
      <c r="CI741" s="128"/>
      <c r="CJ741" s="129"/>
      <c r="CL741" s="132"/>
      <c r="CM741" s="128"/>
      <c r="CN741" s="129"/>
      <c r="CP741" s="132"/>
      <c r="CQ741" s="128"/>
      <c r="CR741" s="129"/>
      <c r="CT741" s="132"/>
      <c r="CU741" s="128"/>
      <c r="CV741" s="129"/>
      <c r="CX741" s="132"/>
      <c r="CY741" s="128"/>
      <c r="CZ741" s="129"/>
      <c r="DB741" s="132"/>
      <c r="DC741" s="128"/>
      <c r="DD741" s="129"/>
      <c r="DF741" s="132"/>
      <c r="DG741" s="85"/>
      <c r="DH741" s="85"/>
      <c r="DI741" s="84"/>
      <c r="DK741" s="84"/>
      <c r="DP741" s="84"/>
      <c r="DU741" s="84"/>
      <c r="DY741" s="84"/>
      <c r="EC741" s="84"/>
      <c r="EG741" s="84"/>
      <c r="EK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128"/>
      <c r="AA742" s="129"/>
      <c r="AC742" s="130"/>
      <c r="AD742" s="128"/>
      <c r="AE742" s="129"/>
      <c r="AG742" s="130"/>
      <c r="AH742" s="128"/>
      <c r="AI742" s="129"/>
      <c r="AK742" s="130"/>
      <c r="AL742" s="128"/>
      <c r="AM742" s="129"/>
      <c r="AO742" s="130"/>
      <c r="AP742" s="128"/>
      <c r="AQ742" s="129"/>
      <c r="AS742" s="130"/>
      <c r="AT742" s="128"/>
      <c r="AU742" s="129"/>
      <c r="AW742" s="130"/>
      <c r="AX742" s="85"/>
      <c r="AY742" s="84"/>
      <c r="AZ742" s="84"/>
      <c r="BA742" s="131"/>
      <c r="BB742" s="84"/>
      <c r="BE742" s="84"/>
      <c r="BI742" s="86"/>
      <c r="BO742" s="84"/>
      <c r="BT742" s="84"/>
      <c r="BY742" s="84"/>
      <c r="CD742" s="84"/>
      <c r="CI742" s="128"/>
      <c r="CJ742" s="129"/>
      <c r="CL742" s="132"/>
      <c r="CM742" s="128"/>
      <c r="CN742" s="129"/>
      <c r="CP742" s="132"/>
      <c r="CQ742" s="128"/>
      <c r="CR742" s="129"/>
      <c r="CT742" s="132"/>
      <c r="CU742" s="128"/>
      <c r="CV742" s="129"/>
      <c r="CX742" s="132"/>
      <c r="CY742" s="128"/>
      <c r="CZ742" s="129"/>
      <c r="DB742" s="132"/>
      <c r="DC742" s="128"/>
      <c r="DD742" s="129"/>
      <c r="DF742" s="132"/>
      <c r="DG742" s="85"/>
      <c r="DH742" s="85"/>
      <c r="DI742" s="84"/>
      <c r="DK742" s="84"/>
      <c r="DP742" s="84"/>
      <c r="DU742" s="84"/>
      <c r="DY742" s="84"/>
      <c r="EC742" s="84"/>
      <c r="EG742" s="84"/>
      <c r="EK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128"/>
      <c r="AA743" s="129"/>
      <c r="AC743" s="130"/>
      <c r="AD743" s="128"/>
      <c r="AE743" s="129"/>
      <c r="AG743" s="130"/>
      <c r="AH743" s="128"/>
      <c r="AI743" s="129"/>
      <c r="AK743" s="130"/>
      <c r="AL743" s="128"/>
      <c r="AM743" s="129"/>
      <c r="AO743" s="130"/>
      <c r="AP743" s="128"/>
      <c r="AQ743" s="129"/>
      <c r="AS743" s="130"/>
      <c r="AT743" s="128"/>
      <c r="AU743" s="129"/>
      <c r="AW743" s="130"/>
      <c r="AX743" s="85"/>
      <c r="AY743" s="84"/>
      <c r="AZ743" s="84"/>
      <c r="BA743" s="131"/>
      <c r="BB743" s="84"/>
      <c r="BE743" s="84"/>
      <c r="BI743" s="86"/>
      <c r="BO743" s="84"/>
      <c r="BT743" s="84"/>
      <c r="BY743" s="84"/>
      <c r="CD743" s="84"/>
      <c r="CI743" s="128"/>
      <c r="CJ743" s="129"/>
      <c r="CL743" s="132"/>
      <c r="CM743" s="128"/>
      <c r="CN743" s="129"/>
      <c r="CP743" s="132"/>
      <c r="CQ743" s="128"/>
      <c r="CR743" s="129"/>
      <c r="CT743" s="132"/>
      <c r="CU743" s="128"/>
      <c r="CV743" s="129"/>
      <c r="CX743" s="132"/>
      <c r="CY743" s="128"/>
      <c r="CZ743" s="129"/>
      <c r="DB743" s="132"/>
      <c r="DC743" s="128"/>
      <c r="DD743" s="129"/>
      <c r="DF743" s="132"/>
      <c r="DG743" s="85"/>
      <c r="DH743" s="85"/>
      <c r="DI743" s="84"/>
      <c r="DK743" s="84"/>
      <c r="DP743" s="84"/>
      <c r="DU743" s="84"/>
      <c r="DY743" s="84"/>
      <c r="EC743" s="84"/>
      <c r="EG743" s="84"/>
      <c r="EK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128"/>
      <c r="AA744" s="129"/>
      <c r="AC744" s="130"/>
      <c r="AD744" s="128"/>
      <c r="AE744" s="129"/>
      <c r="AG744" s="130"/>
      <c r="AH744" s="128"/>
      <c r="AI744" s="129"/>
      <c r="AK744" s="130"/>
      <c r="AL744" s="128"/>
      <c r="AM744" s="129"/>
      <c r="AO744" s="130"/>
      <c r="AP744" s="128"/>
      <c r="AQ744" s="129"/>
      <c r="AS744" s="130"/>
      <c r="AT744" s="128"/>
      <c r="AU744" s="129"/>
      <c r="AW744" s="130"/>
      <c r="AX744" s="85"/>
      <c r="AY744" s="84"/>
      <c r="AZ744" s="84"/>
      <c r="BA744" s="131"/>
      <c r="BB744" s="84"/>
      <c r="BE744" s="84"/>
      <c r="BI744" s="86"/>
      <c r="BO744" s="84"/>
      <c r="BT744" s="84"/>
      <c r="BY744" s="84"/>
      <c r="CD744" s="84"/>
      <c r="CI744" s="128"/>
      <c r="CJ744" s="129"/>
      <c r="CL744" s="132"/>
      <c r="CM744" s="128"/>
      <c r="CN744" s="129"/>
      <c r="CP744" s="132"/>
      <c r="CQ744" s="128"/>
      <c r="CR744" s="129"/>
      <c r="CT744" s="132"/>
      <c r="CU744" s="128"/>
      <c r="CV744" s="129"/>
      <c r="CX744" s="132"/>
      <c r="CY744" s="128"/>
      <c r="CZ744" s="129"/>
      <c r="DB744" s="132"/>
      <c r="DC744" s="128"/>
      <c r="DD744" s="129"/>
      <c r="DF744" s="132"/>
      <c r="DG744" s="85"/>
      <c r="DH744" s="85"/>
      <c r="DI744" s="84"/>
      <c r="DK744" s="84"/>
      <c r="DP744" s="84"/>
      <c r="DU744" s="84"/>
      <c r="DY744" s="84"/>
      <c r="EC744" s="84"/>
      <c r="EG744" s="84"/>
      <c r="EK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128"/>
      <c r="AA745" s="129"/>
      <c r="AC745" s="130"/>
      <c r="AD745" s="128"/>
      <c r="AE745" s="129"/>
      <c r="AG745" s="130"/>
      <c r="AH745" s="128"/>
      <c r="AI745" s="129"/>
      <c r="AK745" s="130"/>
      <c r="AL745" s="128"/>
      <c r="AM745" s="129"/>
      <c r="AO745" s="130"/>
      <c r="AP745" s="128"/>
      <c r="AQ745" s="129"/>
      <c r="AS745" s="130"/>
      <c r="AT745" s="128"/>
      <c r="AU745" s="129"/>
      <c r="AW745" s="130"/>
      <c r="AX745" s="85"/>
      <c r="AY745" s="84"/>
      <c r="AZ745" s="84"/>
      <c r="BA745" s="131"/>
      <c r="BB745" s="84"/>
      <c r="BE745" s="84"/>
      <c r="BI745" s="86"/>
      <c r="BO745" s="84"/>
      <c r="BT745" s="84"/>
      <c r="BY745" s="84"/>
      <c r="CD745" s="84"/>
      <c r="CI745" s="128"/>
      <c r="CJ745" s="129"/>
      <c r="CL745" s="132"/>
      <c r="CM745" s="128"/>
      <c r="CN745" s="129"/>
      <c r="CP745" s="132"/>
      <c r="CQ745" s="128"/>
      <c r="CR745" s="129"/>
      <c r="CT745" s="132"/>
      <c r="CU745" s="128"/>
      <c r="CV745" s="129"/>
      <c r="CX745" s="132"/>
      <c r="CY745" s="128"/>
      <c r="CZ745" s="129"/>
      <c r="DB745" s="132"/>
      <c r="DC745" s="128"/>
      <c r="DD745" s="129"/>
      <c r="DF745" s="132"/>
      <c r="DG745" s="85"/>
      <c r="DH745" s="85"/>
      <c r="DI745" s="84"/>
      <c r="DK745" s="84"/>
      <c r="DP745" s="84"/>
      <c r="DU745" s="84"/>
      <c r="DY745" s="84"/>
      <c r="EC745" s="84"/>
      <c r="EG745" s="84"/>
      <c r="EK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128"/>
      <c r="AA746" s="129"/>
      <c r="AC746" s="130"/>
      <c r="AD746" s="128"/>
      <c r="AE746" s="129"/>
      <c r="AG746" s="130"/>
      <c r="AH746" s="128"/>
      <c r="AI746" s="129"/>
      <c r="AK746" s="130"/>
      <c r="AL746" s="128"/>
      <c r="AM746" s="129"/>
      <c r="AO746" s="130"/>
      <c r="AP746" s="128"/>
      <c r="AQ746" s="129"/>
      <c r="AS746" s="130"/>
      <c r="AT746" s="128"/>
      <c r="AU746" s="129"/>
      <c r="AW746" s="130"/>
      <c r="AX746" s="85"/>
      <c r="AY746" s="84"/>
      <c r="AZ746" s="84"/>
      <c r="BA746" s="131"/>
      <c r="BB746" s="84"/>
      <c r="BE746" s="84"/>
      <c r="BI746" s="86"/>
      <c r="BO746" s="84"/>
      <c r="BT746" s="84"/>
      <c r="BY746" s="84"/>
      <c r="CD746" s="84"/>
      <c r="CI746" s="128"/>
      <c r="CJ746" s="129"/>
      <c r="CL746" s="132"/>
      <c r="CM746" s="128"/>
      <c r="CN746" s="129"/>
      <c r="CP746" s="132"/>
      <c r="CQ746" s="128"/>
      <c r="CR746" s="129"/>
      <c r="CT746" s="132"/>
      <c r="CU746" s="128"/>
      <c r="CV746" s="129"/>
      <c r="CX746" s="132"/>
      <c r="CY746" s="128"/>
      <c r="CZ746" s="129"/>
      <c r="DB746" s="132"/>
      <c r="DC746" s="128"/>
      <c r="DD746" s="129"/>
      <c r="DF746" s="132"/>
      <c r="DG746" s="85"/>
      <c r="DH746" s="85"/>
      <c r="DI746" s="84"/>
      <c r="DK746" s="84"/>
      <c r="DP746" s="84"/>
      <c r="DU746" s="84"/>
      <c r="DY746" s="84"/>
      <c r="EC746" s="84"/>
      <c r="EG746" s="84"/>
      <c r="EK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128"/>
      <c r="AA747" s="129"/>
      <c r="AC747" s="130"/>
      <c r="AD747" s="128"/>
      <c r="AE747" s="129"/>
      <c r="AG747" s="130"/>
      <c r="AH747" s="128"/>
      <c r="AI747" s="129"/>
      <c r="AK747" s="130"/>
      <c r="AL747" s="128"/>
      <c r="AM747" s="129"/>
      <c r="AO747" s="130"/>
      <c r="AP747" s="128"/>
      <c r="AQ747" s="129"/>
      <c r="AS747" s="130"/>
      <c r="AT747" s="128"/>
      <c r="AU747" s="129"/>
      <c r="AW747" s="130"/>
      <c r="AX747" s="85"/>
      <c r="AY747" s="84"/>
      <c r="AZ747" s="84"/>
      <c r="BA747" s="131"/>
      <c r="BB747" s="84"/>
      <c r="BE747" s="84"/>
      <c r="BI747" s="86"/>
      <c r="BO747" s="84"/>
      <c r="BT747" s="84"/>
      <c r="BY747" s="84"/>
      <c r="CD747" s="84"/>
      <c r="CI747" s="128"/>
      <c r="CJ747" s="129"/>
      <c r="CL747" s="132"/>
      <c r="CM747" s="128"/>
      <c r="CN747" s="129"/>
      <c r="CP747" s="132"/>
      <c r="CQ747" s="128"/>
      <c r="CR747" s="129"/>
      <c r="CT747" s="132"/>
      <c r="CU747" s="128"/>
      <c r="CV747" s="129"/>
      <c r="CX747" s="132"/>
      <c r="CY747" s="128"/>
      <c r="CZ747" s="129"/>
      <c r="DB747" s="132"/>
      <c r="DC747" s="128"/>
      <c r="DD747" s="129"/>
      <c r="DF747" s="132"/>
      <c r="DG747" s="85"/>
      <c r="DH747" s="85"/>
      <c r="DI747" s="84"/>
      <c r="DK747" s="84"/>
      <c r="DP747" s="84"/>
      <c r="DU747" s="84"/>
      <c r="DY747" s="84"/>
      <c r="EC747" s="84"/>
      <c r="EG747" s="84"/>
      <c r="EK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128"/>
      <c r="AA748" s="129"/>
      <c r="AC748" s="130"/>
      <c r="AD748" s="128"/>
      <c r="AE748" s="129"/>
      <c r="AG748" s="130"/>
      <c r="AH748" s="128"/>
      <c r="AI748" s="129"/>
      <c r="AK748" s="130"/>
      <c r="AL748" s="128"/>
      <c r="AM748" s="129"/>
      <c r="AO748" s="130"/>
      <c r="AP748" s="128"/>
      <c r="AQ748" s="129"/>
      <c r="AS748" s="130"/>
      <c r="AT748" s="128"/>
      <c r="AU748" s="129"/>
      <c r="AW748" s="130"/>
      <c r="AX748" s="85"/>
      <c r="AY748" s="84"/>
      <c r="AZ748" s="84"/>
      <c r="BA748" s="131"/>
      <c r="BB748" s="84"/>
      <c r="BE748" s="84"/>
      <c r="BI748" s="86"/>
      <c r="BO748" s="84"/>
      <c r="BT748" s="84"/>
      <c r="BY748" s="84"/>
      <c r="CD748" s="84"/>
      <c r="CI748" s="128"/>
      <c r="CJ748" s="129"/>
      <c r="CL748" s="132"/>
      <c r="CM748" s="128"/>
      <c r="CN748" s="129"/>
      <c r="CP748" s="132"/>
      <c r="CQ748" s="128"/>
      <c r="CR748" s="129"/>
      <c r="CT748" s="132"/>
      <c r="CU748" s="128"/>
      <c r="CV748" s="129"/>
      <c r="CX748" s="132"/>
      <c r="CY748" s="128"/>
      <c r="CZ748" s="129"/>
      <c r="DB748" s="132"/>
      <c r="DC748" s="128"/>
      <c r="DD748" s="129"/>
      <c r="DF748" s="132"/>
      <c r="DG748" s="85"/>
      <c r="DH748" s="85"/>
      <c r="DI748" s="84"/>
      <c r="DK748" s="84"/>
      <c r="DP748" s="84"/>
      <c r="DU748" s="84"/>
      <c r="DY748" s="84"/>
      <c r="EC748" s="84"/>
      <c r="EG748" s="84"/>
      <c r="EK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128"/>
      <c r="AA749" s="129"/>
      <c r="AC749" s="130"/>
      <c r="AD749" s="128"/>
      <c r="AE749" s="129"/>
      <c r="AG749" s="130"/>
      <c r="AH749" s="128"/>
      <c r="AI749" s="129"/>
      <c r="AK749" s="130"/>
      <c r="AL749" s="128"/>
      <c r="AM749" s="129"/>
      <c r="AO749" s="130"/>
      <c r="AP749" s="128"/>
      <c r="AQ749" s="129"/>
      <c r="AS749" s="130"/>
      <c r="AT749" s="128"/>
      <c r="AU749" s="129"/>
      <c r="AW749" s="130"/>
      <c r="AX749" s="85"/>
      <c r="AY749" s="84"/>
      <c r="AZ749" s="84"/>
      <c r="BA749" s="131"/>
      <c r="BB749" s="84"/>
      <c r="BE749" s="84"/>
      <c r="BI749" s="86"/>
      <c r="BO749" s="84"/>
      <c r="BT749" s="84"/>
      <c r="BY749" s="84"/>
      <c r="CD749" s="84"/>
      <c r="CI749" s="128"/>
      <c r="CJ749" s="129"/>
      <c r="CL749" s="132"/>
      <c r="CM749" s="128"/>
      <c r="CN749" s="129"/>
      <c r="CP749" s="132"/>
      <c r="CQ749" s="128"/>
      <c r="CR749" s="129"/>
      <c r="CT749" s="132"/>
      <c r="CU749" s="128"/>
      <c r="CV749" s="129"/>
      <c r="CX749" s="132"/>
      <c r="CY749" s="128"/>
      <c r="CZ749" s="129"/>
      <c r="DB749" s="132"/>
      <c r="DC749" s="128"/>
      <c r="DD749" s="129"/>
      <c r="DF749" s="132"/>
      <c r="DG749" s="85"/>
      <c r="DH749" s="85"/>
      <c r="DI749" s="84"/>
      <c r="DK749" s="84"/>
      <c r="DP749" s="84"/>
      <c r="DU749" s="84"/>
      <c r="DY749" s="84"/>
      <c r="EC749" s="84"/>
      <c r="EG749" s="84"/>
      <c r="EK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128"/>
      <c r="AA750" s="129"/>
      <c r="AC750" s="130"/>
      <c r="AD750" s="128"/>
      <c r="AE750" s="129"/>
      <c r="AG750" s="130"/>
      <c r="AH750" s="128"/>
      <c r="AI750" s="129"/>
      <c r="AK750" s="130"/>
      <c r="AL750" s="128"/>
      <c r="AM750" s="129"/>
      <c r="AO750" s="130"/>
      <c r="AP750" s="128"/>
      <c r="AQ750" s="129"/>
      <c r="AS750" s="130"/>
      <c r="AT750" s="128"/>
      <c r="AU750" s="129"/>
      <c r="AW750" s="130"/>
      <c r="AX750" s="85"/>
      <c r="AY750" s="84"/>
      <c r="AZ750" s="84"/>
      <c r="BA750" s="131"/>
      <c r="BB750" s="84"/>
      <c r="BE750" s="84"/>
      <c r="BI750" s="86"/>
      <c r="BO750" s="84"/>
      <c r="BT750" s="84"/>
      <c r="BY750" s="84"/>
      <c r="CD750" s="84"/>
      <c r="CI750" s="128"/>
      <c r="CJ750" s="129"/>
      <c r="CL750" s="132"/>
      <c r="CM750" s="128"/>
      <c r="CN750" s="129"/>
      <c r="CP750" s="132"/>
      <c r="CQ750" s="128"/>
      <c r="CR750" s="129"/>
      <c r="CT750" s="132"/>
      <c r="CU750" s="128"/>
      <c r="CV750" s="129"/>
      <c r="CX750" s="132"/>
      <c r="CY750" s="128"/>
      <c r="CZ750" s="129"/>
      <c r="DB750" s="132"/>
      <c r="DC750" s="128"/>
      <c r="DD750" s="129"/>
      <c r="DF750" s="132"/>
      <c r="DG750" s="85"/>
      <c r="DH750" s="85"/>
      <c r="DI750" s="84"/>
      <c r="DK750" s="84"/>
      <c r="DP750" s="84"/>
      <c r="DU750" s="84"/>
      <c r="DY750" s="84"/>
      <c r="EC750" s="84"/>
      <c r="EG750" s="84"/>
      <c r="EK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128"/>
      <c r="AA751" s="129"/>
      <c r="AC751" s="130"/>
      <c r="AD751" s="128"/>
      <c r="AE751" s="129"/>
      <c r="AG751" s="130"/>
      <c r="AH751" s="128"/>
      <c r="AI751" s="129"/>
      <c r="AK751" s="130"/>
      <c r="AL751" s="128"/>
      <c r="AM751" s="129"/>
      <c r="AO751" s="130"/>
      <c r="AP751" s="128"/>
      <c r="AQ751" s="129"/>
      <c r="AS751" s="130"/>
      <c r="AT751" s="128"/>
      <c r="AU751" s="129"/>
      <c r="AW751" s="130"/>
      <c r="AX751" s="85"/>
      <c r="AY751" s="84"/>
      <c r="AZ751" s="84"/>
      <c r="BA751" s="131"/>
      <c r="BB751" s="84"/>
      <c r="BE751" s="84"/>
      <c r="BI751" s="86"/>
      <c r="BO751" s="84"/>
      <c r="BT751" s="84"/>
      <c r="BY751" s="84"/>
      <c r="CD751" s="84"/>
      <c r="CI751" s="128"/>
      <c r="CJ751" s="129"/>
      <c r="CL751" s="132"/>
      <c r="CM751" s="128"/>
      <c r="CN751" s="129"/>
      <c r="CP751" s="132"/>
      <c r="CQ751" s="128"/>
      <c r="CR751" s="129"/>
      <c r="CT751" s="132"/>
      <c r="CU751" s="128"/>
      <c r="CV751" s="129"/>
      <c r="CX751" s="132"/>
      <c r="CY751" s="128"/>
      <c r="CZ751" s="129"/>
      <c r="DB751" s="132"/>
      <c r="DC751" s="128"/>
      <c r="DD751" s="129"/>
      <c r="DF751" s="132"/>
      <c r="DG751" s="85"/>
      <c r="DH751" s="85"/>
      <c r="DI751" s="84"/>
      <c r="DK751" s="84"/>
      <c r="DP751" s="84"/>
      <c r="DU751" s="84"/>
      <c r="DY751" s="84"/>
      <c r="EC751" s="84"/>
      <c r="EG751" s="84"/>
      <c r="EK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128"/>
      <c r="AA752" s="129"/>
      <c r="AC752" s="130"/>
      <c r="AD752" s="128"/>
      <c r="AE752" s="129"/>
      <c r="AG752" s="130"/>
      <c r="AH752" s="128"/>
      <c r="AI752" s="129"/>
      <c r="AK752" s="130"/>
      <c r="AL752" s="128"/>
      <c r="AM752" s="129"/>
      <c r="AO752" s="130"/>
      <c r="AP752" s="128"/>
      <c r="AQ752" s="129"/>
      <c r="AS752" s="130"/>
      <c r="AT752" s="128"/>
      <c r="AU752" s="129"/>
      <c r="AW752" s="130"/>
      <c r="AX752" s="85"/>
      <c r="AY752" s="84"/>
      <c r="AZ752" s="84"/>
      <c r="BA752" s="131"/>
      <c r="BB752" s="84"/>
      <c r="BE752" s="84"/>
      <c r="BI752" s="86"/>
      <c r="BO752" s="84"/>
      <c r="BT752" s="84"/>
      <c r="BY752" s="84"/>
      <c r="CD752" s="84"/>
      <c r="CI752" s="128"/>
      <c r="CJ752" s="129"/>
      <c r="CL752" s="132"/>
      <c r="CM752" s="128"/>
      <c r="CN752" s="129"/>
      <c r="CP752" s="132"/>
      <c r="CQ752" s="128"/>
      <c r="CR752" s="129"/>
      <c r="CT752" s="132"/>
      <c r="CU752" s="128"/>
      <c r="CV752" s="129"/>
      <c r="CX752" s="132"/>
      <c r="CY752" s="128"/>
      <c r="CZ752" s="129"/>
      <c r="DB752" s="132"/>
      <c r="DC752" s="128"/>
      <c r="DD752" s="129"/>
      <c r="DF752" s="132"/>
      <c r="DG752" s="85"/>
      <c r="DH752" s="85"/>
      <c r="DI752" s="84"/>
      <c r="DK752" s="84"/>
      <c r="DP752" s="84"/>
      <c r="DU752" s="84"/>
      <c r="DY752" s="84"/>
      <c r="EC752" s="84"/>
      <c r="EG752" s="84"/>
      <c r="EK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128"/>
      <c r="AA753" s="129"/>
      <c r="AC753" s="130"/>
      <c r="AD753" s="128"/>
      <c r="AE753" s="129"/>
      <c r="AG753" s="130"/>
      <c r="AH753" s="128"/>
      <c r="AI753" s="129"/>
      <c r="AK753" s="130"/>
      <c r="AL753" s="128"/>
      <c r="AM753" s="129"/>
      <c r="AO753" s="130"/>
      <c r="AP753" s="128"/>
      <c r="AQ753" s="129"/>
      <c r="AS753" s="130"/>
      <c r="AT753" s="128"/>
      <c r="AU753" s="129"/>
      <c r="AW753" s="130"/>
      <c r="AX753" s="85"/>
      <c r="AY753" s="84"/>
      <c r="AZ753" s="84"/>
      <c r="BA753" s="131"/>
      <c r="BB753" s="84"/>
      <c r="BE753" s="84"/>
      <c r="BI753" s="86"/>
      <c r="BO753" s="84"/>
      <c r="BT753" s="84"/>
      <c r="BY753" s="84"/>
      <c r="CD753" s="84"/>
      <c r="CI753" s="128"/>
      <c r="CJ753" s="129"/>
      <c r="CL753" s="132"/>
      <c r="CM753" s="128"/>
      <c r="CN753" s="129"/>
      <c r="CP753" s="132"/>
      <c r="CQ753" s="128"/>
      <c r="CR753" s="129"/>
      <c r="CT753" s="132"/>
      <c r="CU753" s="128"/>
      <c r="CV753" s="129"/>
      <c r="CX753" s="132"/>
      <c r="CY753" s="128"/>
      <c r="CZ753" s="129"/>
      <c r="DB753" s="132"/>
      <c r="DC753" s="128"/>
      <c r="DD753" s="129"/>
      <c r="DF753" s="132"/>
      <c r="DG753" s="85"/>
      <c r="DH753" s="85"/>
      <c r="DI753" s="84"/>
      <c r="DK753" s="84"/>
      <c r="DP753" s="84"/>
      <c r="DU753" s="84"/>
      <c r="DY753" s="84"/>
      <c r="EC753" s="84"/>
      <c r="EG753" s="84"/>
      <c r="EK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128"/>
      <c r="AA754" s="129"/>
      <c r="AC754" s="130"/>
      <c r="AD754" s="128"/>
      <c r="AE754" s="129"/>
      <c r="AG754" s="130"/>
      <c r="AH754" s="128"/>
      <c r="AI754" s="129"/>
      <c r="AK754" s="130"/>
      <c r="AL754" s="128"/>
      <c r="AM754" s="129"/>
      <c r="AO754" s="130"/>
      <c r="AP754" s="128"/>
      <c r="AQ754" s="129"/>
      <c r="AS754" s="130"/>
      <c r="AT754" s="128"/>
      <c r="AU754" s="129"/>
      <c r="AW754" s="130"/>
      <c r="AX754" s="85"/>
      <c r="AY754" s="84"/>
      <c r="AZ754" s="84"/>
      <c r="BA754" s="131"/>
      <c r="BB754" s="84"/>
      <c r="BE754" s="84"/>
      <c r="BI754" s="86"/>
      <c r="BO754" s="84"/>
      <c r="BT754" s="84"/>
      <c r="BY754" s="84"/>
      <c r="CD754" s="84"/>
      <c r="CI754" s="128"/>
      <c r="CJ754" s="129"/>
      <c r="CL754" s="132"/>
      <c r="CM754" s="128"/>
      <c r="CN754" s="129"/>
      <c r="CP754" s="132"/>
      <c r="CQ754" s="128"/>
      <c r="CR754" s="129"/>
      <c r="CT754" s="132"/>
      <c r="CU754" s="128"/>
      <c r="CV754" s="129"/>
      <c r="CX754" s="132"/>
      <c r="CY754" s="128"/>
      <c r="CZ754" s="129"/>
      <c r="DB754" s="132"/>
      <c r="DC754" s="128"/>
      <c r="DD754" s="129"/>
      <c r="DF754" s="132"/>
      <c r="DG754" s="85"/>
      <c r="DH754" s="85"/>
      <c r="DI754" s="84"/>
      <c r="DK754" s="84"/>
      <c r="DP754" s="84"/>
      <c r="DU754" s="84"/>
      <c r="DY754" s="84"/>
      <c r="EC754" s="84"/>
      <c r="EG754" s="84"/>
      <c r="EK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128"/>
      <c r="AA755" s="129"/>
      <c r="AC755" s="130"/>
      <c r="AD755" s="128"/>
      <c r="AE755" s="129"/>
      <c r="AG755" s="130"/>
      <c r="AH755" s="128"/>
      <c r="AI755" s="129"/>
      <c r="AK755" s="130"/>
      <c r="AL755" s="128"/>
      <c r="AM755" s="129"/>
      <c r="AO755" s="130"/>
      <c r="AP755" s="128"/>
      <c r="AQ755" s="129"/>
      <c r="AS755" s="130"/>
      <c r="AT755" s="128"/>
      <c r="AU755" s="129"/>
      <c r="AW755" s="130"/>
      <c r="AX755" s="85"/>
      <c r="AY755" s="84"/>
      <c r="AZ755" s="84"/>
      <c r="BA755" s="131"/>
      <c r="BB755" s="84"/>
      <c r="BE755" s="84"/>
      <c r="BI755" s="86"/>
      <c r="BO755" s="84"/>
      <c r="BT755" s="84"/>
      <c r="BY755" s="84"/>
      <c r="CD755" s="84"/>
      <c r="CI755" s="128"/>
      <c r="CJ755" s="129"/>
      <c r="CL755" s="132"/>
      <c r="CM755" s="128"/>
      <c r="CN755" s="129"/>
      <c r="CP755" s="132"/>
      <c r="CQ755" s="128"/>
      <c r="CR755" s="129"/>
      <c r="CT755" s="132"/>
      <c r="CU755" s="128"/>
      <c r="CV755" s="129"/>
      <c r="CX755" s="132"/>
      <c r="CY755" s="128"/>
      <c r="CZ755" s="129"/>
      <c r="DB755" s="132"/>
      <c r="DC755" s="128"/>
      <c r="DD755" s="129"/>
      <c r="DF755" s="132"/>
      <c r="DG755" s="85"/>
      <c r="DH755" s="85"/>
      <c r="DI755" s="84"/>
      <c r="DK755" s="84"/>
      <c r="DP755" s="84"/>
      <c r="DU755" s="84"/>
      <c r="DY755" s="84"/>
      <c r="EC755" s="84"/>
      <c r="EG755" s="84"/>
      <c r="EK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128"/>
      <c r="AA756" s="129"/>
      <c r="AC756" s="130"/>
      <c r="AD756" s="128"/>
      <c r="AE756" s="129"/>
      <c r="AG756" s="130"/>
      <c r="AH756" s="128"/>
      <c r="AI756" s="129"/>
      <c r="AK756" s="130"/>
      <c r="AL756" s="128"/>
      <c r="AM756" s="129"/>
      <c r="AO756" s="130"/>
      <c r="AP756" s="128"/>
      <c r="AQ756" s="129"/>
      <c r="AS756" s="130"/>
      <c r="AT756" s="128"/>
      <c r="AU756" s="129"/>
      <c r="AW756" s="130"/>
      <c r="AX756" s="85"/>
      <c r="AY756" s="84"/>
      <c r="AZ756" s="84"/>
      <c r="BA756" s="131"/>
      <c r="BB756" s="84"/>
      <c r="BE756" s="84"/>
      <c r="BI756" s="86"/>
      <c r="BO756" s="84"/>
      <c r="BT756" s="84"/>
      <c r="BY756" s="84"/>
      <c r="CD756" s="84"/>
      <c r="CI756" s="128"/>
      <c r="CJ756" s="129"/>
      <c r="CL756" s="132"/>
      <c r="CM756" s="128"/>
      <c r="CN756" s="129"/>
      <c r="CP756" s="132"/>
      <c r="CQ756" s="128"/>
      <c r="CR756" s="129"/>
      <c r="CT756" s="132"/>
      <c r="CU756" s="128"/>
      <c r="CV756" s="129"/>
      <c r="CX756" s="132"/>
      <c r="CY756" s="128"/>
      <c r="CZ756" s="129"/>
      <c r="DB756" s="132"/>
      <c r="DC756" s="128"/>
      <c r="DD756" s="129"/>
      <c r="DF756" s="132"/>
      <c r="DG756" s="85"/>
      <c r="DH756" s="85"/>
      <c r="DI756" s="84"/>
      <c r="DK756" s="84"/>
      <c r="DP756" s="84"/>
      <c r="DU756" s="84"/>
      <c r="DY756" s="84"/>
      <c r="EC756" s="84"/>
      <c r="EG756" s="84"/>
      <c r="EK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128"/>
      <c r="AA757" s="129"/>
      <c r="AC757" s="130"/>
      <c r="AD757" s="128"/>
      <c r="AE757" s="129"/>
      <c r="AG757" s="130"/>
      <c r="AH757" s="128"/>
      <c r="AI757" s="129"/>
      <c r="AK757" s="130"/>
      <c r="AL757" s="128"/>
      <c r="AM757" s="129"/>
      <c r="AO757" s="130"/>
      <c r="AP757" s="128"/>
      <c r="AQ757" s="129"/>
      <c r="AS757" s="130"/>
      <c r="AT757" s="128"/>
      <c r="AU757" s="129"/>
      <c r="AW757" s="130"/>
      <c r="AX757" s="85"/>
      <c r="AY757" s="84"/>
      <c r="AZ757" s="84"/>
      <c r="BA757" s="131"/>
      <c r="BB757" s="84"/>
      <c r="BE757" s="84"/>
      <c r="BI757" s="86"/>
      <c r="BO757" s="84"/>
      <c r="BT757" s="84"/>
      <c r="BY757" s="84"/>
      <c r="CD757" s="84"/>
      <c r="CI757" s="128"/>
      <c r="CJ757" s="129"/>
      <c r="CL757" s="132"/>
      <c r="CM757" s="128"/>
      <c r="CN757" s="129"/>
      <c r="CP757" s="132"/>
      <c r="CQ757" s="128"/>
      <c r="CR757" s="129"/>
      <c r="CT757" s="132"/>
      <c r="CU757" s="128"/>
      <c r="CV757" s="129"/>
      <c r="CX757" s="132"/>
      <c r="CY757" s="128"/>
      <c r="CZ757" s="129"/>
      <c r="DB757" s="132"/>
      <c r="DC757" s="128"/>
      <c r="DD757" s="129"/>
      <c r="DF757" s="132"/>
      <c r="DG757" s="85"/>
      <c r="DH757" s="85"/>
      <c r="DI757" s="84"/>
      <c r="DK757" s="84"/>
      <c r="DP757" s="84"/>
      <c r="DU757" s="84"/>
      <c r="DY757" s="84"/>
      <c r="EC757" s="84"/>
      <c r="EG757" s="84"/>
      <c r="EK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128"/>
      <c r="AA758" s="129"/>
      <c r="AC758" s="130"/>
      <c r="AD758" s="128"/>
      <c r="AE758" s="129"/>
      <c r="AG758" s="130"/>
      <c r="AH758" s="128"/>
      <c r="AI758" s="129"/>
      <c r="AK758" s="130"/>
      <c r="AL758" s="128"/>
      <c r="AM758" s="129"/>
      <c r="AO758" s="130"/>
      <c r="AP758" s="128"/>
      <c r="AQ758" s="129"/>
      <c r="AS758" s="130"/>
      <c r="AT758" s="128"/>
      <c r="AU758" s="129"/>
      <c r="AW758" s="130"/>
      <c r="AX758" s="85"/>
      <c r="AY758" s="84"/>
      <c r="AZ758" s="84"/>
      <c r="BA758" s="131"/>
      <c r="BB758" s="84"/>
      <c r="BE758" s="84"/>
      <c r="BI758" s="86"/>
      <c r="BO758" s="84"/>
      <c r="BT758" s="84"/>
      <c r="BY758" s="84"/>
      <c r="CD758" s="84"/>
      <c r="CI758" s="128"/>
      <c r="CJ758" s="129"/>
      <c r="CL758" s="132"/>
      <c r="CM758" s="128"/>
      <c r="CN758" s="129"/>
      <c r="CP758" s="132"/>
      <c r="CQ758" s="128"/>
      <c r="CR758" s="129"/>
      <c r="CT758" s="132"/>
      <c r="CU758" s="128"/>
      <c r="CV758" s="129"/>
      <c r="CX758" s="132"/>
      <c r="CY758" s="128"/>
      <c r="CZ758" s="129"/>
      <c r="DB758" s="132"/>
      <c r="DC758" s="128"/>
      <c r="DD758" s="129"/>
      <c r="DF758" s="132"/>
      <c r="DG758" s="85"/>
      <c r="DH758" s="85"/>
      <c r="DI758" s="84"/>
      <c r="DK758" s="84"/>
      <c r="DP758" s="84"/>
      <c r="DU758" s="84"/>
      <c r="DY758" s="84"/>
      <c r="EC758" s="84"/>
      <c r="EG758" s="84"/>
      <c r="EK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128"/>
      <c r="AA759" s="129"/>
      <c r="AC759" s="130"/>
      <c r="AD759" s="128"/>
      <c r="AE759" s="129"/>
      <c r="AG759" s="130"/>
      <c r="AH759" s="128"/>
      <c r="AI759" s="129"/>
      <c r="AK759" s="130"/>
      <c r="AL759" s="128"/>
      <c r="AM759" s="129"/>
      <c r="AO759" s="130"/>
      <c r="AP759" s="128"/>
      <c r="AQ759" s="129"/>
      <c r="AS759" s="130"/>
      <c r="AT759" s="128"/>
      <c r="AU759" s="129"/>
      <c r="AW759" s="130"/>
      <c r="AX759" s="85"/>
      <c r="AY759" s="84"/>
      <c r="AZ759" s="84"/>
      <c r="BA759" s="131"/>
      <c r="BB759" s="84"/>
      <c r="BE759" s="84"/>
      <c r="BI759" s="86"/>
      <c r="BO759" s="84"/>
      <c r="BT759" s="84"/>
      <c r="BY759" s="84"/>
      <c r="CD759" s="84"/>
      <c r="CI759" s="128"/>
      <c r="CJ759" s="129"/>
      <c r="CL759" s="132"/>
      <c r="CM759" s="128"/>
      <c r="CN759" s="129"/>
      <c r="CP759" s="132"/>
      <c r="CQ759" s="128"/>
      <c r="CR759" s="129"/>
      <c r="CT759" s="132"/>
      <c r="CU759" s="128"/>
      <c r="CV759" s="129"/>
      <c r="CX759" s="132"/>
      <c r="CY759" s="128"/>
      <c r="CZ759" s="129"/>
      <c r="DB759" s="132"/>
      <c r="DC759" s="128"/>
      <c r="DD759" s="129"/>
      <c r="DF759" s="132"/>
      <c r="DG759" s="85"/>
      <c r="DH759" s="85"/>
      <c r="DI759" s="84"/>
      <c r="DK759" s="84"/>
      <c r="DP759" s="84"/>
      <c r="DU759" s="84"/>
      <c r="DY759" s="84"/>
      <c r="EC759" s="84"/>
      <c r="EG759" s="84"/>
      <c r="EK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128"/>
      <c r="AA760" s="129"/>
      <c r="AC760" s="130"/>
      <c r="AD760" s="128"/>
      <c r="AE760" s="129"/>
      <c r="AG760" s="130"/>
      <c r="AH760" s="128"/>
      <c r="AI760" s="129"/>
      <c r="AK760" s="130"/>
      <c r="AL760" s="128"/>
      <c r="AM760" s="129"/>
      <c r="AO760" s="130"/>
      <c r="AP760" s="128"/>
      <c r="AQ760" s="129"/>
      <c r="AS760" s="130"/>
      <c r="AT760" s="128"/>
      <c r="AU760" s="129"/>
      <c r="AW760" s="130"/>
      <c r="AX760" s="85"/>
      <c r="AY760" s="84"/>
      <c r="AZ760" s="84"/>
      <c r="BA760" s="131"/>
      <c r="BB760" s="84"/>
      <c r="BE760" s="84"/>
      <c r="BI760" s="86"/>
      <c r="BO760" s="84"/>
      <c r="BT760" s="84"/>
      <c r="BY760" s="84"/>
      <c r="CD760" s="84"/>
      <c r="CI760" s="128"/>
      <c r="CJ760" s="129"/>
      <c r="CL760" s="132"/>
      <c r="CM760" s="128"/>
      <c r="CN760" s="129"/>
      <c r="CP760" s="132"/>
      <c r="CQ760" s="128"/>
      <c r="CR760" s="129"/>
      <c r="CT760" s="132"/>
      <c r="CU760" s="128"/>
      <c r="CV760" s="129"/>
      <c r="CX760" s="132"/>
      <c r="CY760" s="128"/>
      <c r="CZ760" s="129"/>
      <c r="DB760" s="132"/>
      <c r="DC760" s="128"/>
      <c r="DD760" s="129"/>
      <c r="DF760" s="132"/>
      <c r="DG760" s="85"/>
      <c r="DH760" s="85"/>
      <c r="DI760" s="84"/>
      <c r="DK760" s="84"/>
      <c r="DP760" s="84"/>
      <c r="DU760" s="84"/>
      <c r="DY760" s="84"/>
      <c r="EC760" s="84"/>
      <c r="EG760" s="84"/>
      <c r="EK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128"/>
      <c r="AA761" s="129"/>
      <c r="AC761" s="130"/>
      <c r="AD761" s="128"/>
      <c r="AE761" s="129"/>
      <c r="AG761" s="130"/>
      <c r="AH761" s="128"/>
      <c r="AI761" s="129"/>
      <c r="AK761" s="130"/>
      <c r="AL761" s="128"/>
      <c r="AM761" s="129"/>
      <c r="AO761" s="130"/>
      <c r="AP761" s="128"/>
      <c r="AQ761" s="129"/>
      <c r="AS761" s="130"/>
      <c r="AT761" s="128"/>
      <c r="AU761" s="129"/>
      <c r="AW761" s="130"/>
      <c r="AX761" s="85"/>
      <c r="AY761" s="84"/>
      <c r="AZ761" s="84"/>
      <c r="BA761" s="131"/>
      <c r="BB761" s="84"/>
      <c r="BE761" s="84"/>
      <c r="BI761" s="86"/>
      <c r="BO761" s="84"/>
      <c r="BT761" s="84"/>
      <c r="BY761" s="84"/>
      <c r="CD761" s="84"/>
      <c r="CI761" s="128"/>
      <c r="CJ761" s="129"/>
      <c r="CL761" s="132"/>
      <c r="CM761" s="128"/>
      <c r="CN761" s="129"/>
      <c r="CP761" s="132"/>
      <c r="CQ761" s="128"/>
      <c r="CR761" s="129"/>
      <c r="CT761" s="132"/>
      <c r="CU761" s="128"/>
      <c r="CV761" s="129"/>
      <c r="CX761" s="132"/>
      <c r="CY761" s="128"/>
      <c r="CZ761" s="129"/>
      <c r="DB761" s="132"/>
      <c r="DC761" s="128"/>
      <c r="DD761" s="129"/>
      <c r="DF761" s="132"/>
      <c r="DG761" s="85"/>
      <c r="DH761" s="85"/>
      <c r="DI761" s="84"/>
      <c r="DK761" s="84"/>
      <c r="DP761" s="84"/>
      <c r="DU761" s="84"/>
      <c r="DY761" s="84"/>
      <c r="EC761" s="84"/>
      <c r="EG761" s="84"/>
      <c r="EK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128"/>
      <c r="AA762" s="129"/>
      <c r="AC762" s="130"/>
      <c r="AD762" s="128"/>
      <c r="AE762" s="129"/>
      <c r="AG762" s="130"/>
      <c r="AH762" s="128"/>
      <c r="AI762" s="129"/>
      <c r="AK762" s="130"/>
      <c r="AL762" s="128"/>
      <c r="AM762" s="129"/>
      <c r="AO762" s="130"/>
      <c r="AP762" s="128"/>
      <c r="AQ762" s="129"/>
      <c r="AS762" s="130"/>
      <c r="AT762" s="128"/>
      <c r="AU762" s="129"/>
      <c r="AW762" s="130"/>
      <c r="AX762" s="85"/>
      <c r="AY762" s="84"/>
      <c r="AZ762" s="84"/>
      <c r="BA762" s="131"/>
      <c r="BB762" s="84"/>
      <c r="BE762" s="84"/>
      <c r="BI762" s="86"/>
      <c r="BO762" s="84"/>
      <c r="BT762" s="84"/>
      <c r="BY762" s="84"/>
      <c r="CD762" s="84"/>
      <c r="CI762" s="128"/>
      <c r="CJ762" s="129"/>
      <c r="CL762" s="132"/>
      <c r="CM762" s="128"/>
      <c r="CN762" s="129"/>
      <c r="CP762" s="132"/>
      <c r="CQ762" s="128"/>
      <c r="CR762" s="129"/>
      <c r="CT762" s="132"/>
      <c r="CU762" s="128"/>
      <c r="CV762" s="129"/>
      <c r="CX762" s="132"/>
      <c r="CY762" s="128"/>
      <c r="CZ762" s="129"/>
      <c r="DB762" s="132"/>
      <c r="DC762" s="128"/>
      <c r="DD762" s="129"/>
      <c r="DF762" s="132"/>
      <c r="DG762" s="85"/>
      <c r="DH762" s="85"/>
      <c r="DI762" s="84"/>
      <c r="DK762" s="84"/>
      <c r="DP762" s="84"/>
      <c r="DU762" s="84"/>
      <c r="DY762" s="84"/>
      <c r="EC762" s="84"/>
      <c r="EG762" s="84"/>
      <c r="EK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128"/>
      <c r="AA763" s="129"/>
      <c r="AC763" s="130"/>
      <c r="AD763" s="128"/>
      <c r="AE763" s="129"/>
      <c r="AG763" s="130"/>
      <c r="AH763" s="128"/>
      <c r="AI763" s="129"/>
      <c r="AK763" s="130"/>
      <c r="AL763" s="128"/>
      <c r="AM763" s="129"/>
      <c r="AO763" s="130"/>
      <c r="AP763" s="128"/>
      <c r="AQ763" s="129"/>
      <c r="AS763" s="130"/>
      <c r="AT763" s="128"/>
      <c r="AU763" s="129"/>
      <c r="AW763" s="130"/>
      <c r="AX763" s="85"/>
      <c r="AY763" s="84"/>
      <c r="AZ763" s="84"/>
      <c r="BA763" s="131"/>
      <c r="BB763" s="84"/>
      <c r="BE763" s="84"/>
      <c r="BI763" s="86"/>
      <c r="BO763" s="84"/>
      <c r="BT763" s="84"/>
      <c r="BY763" s="84"/>
      <c r="CD763" s="84"/>
      <c r="CI763" s="128"/>
      <c r="CJ763" s="129"/>
      <c r="CL763" s="132"/>
      <c r="CM763" s="128"/>
      <c r="CN763" s="129"/>
      <c r="CP763" s="132"/>
      <c r="CQ763" s="128"/>
      <c r="CR763" s="129"/>
      <c r="CT763" s="132"/>
      <c r="CU763" s="128"/>
      <c r="CV763" s="129"/>
      <c r="CX763" s="132"/>
      <c r="CY763" s="128"/>
      <c r="CZ763" s="129"/>
      <c r="DB763" s="132"/>
      <c r="DC763" s="128"/>
      <c r="DD763" s="129"/>
      <c r="DF763" s="132"/>
      <c r="DG763" s="85"/>
      <c r="DH763" s="85"/>
      <c r="DI763" s="84"/>
      <c r="DK763" s="84"/>
      <c r="DP763" s="84"/>
      <c r="DU763" s="84"/>
      <c r="DY763" s="84"/>
      <c r="EC763" s="84"/>
      <c r="EG763" s="84"/>
      <c r="EK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128"/>
      <c r="AA764" s="129"/>
      <c r="AC764" s="130"/>
      <c r="AD764" s="128"/>
      <c r="AE764" s="129"/>
      <c r="AG764" s="130"/>
      <c r="AH764" s="128"/>
      <c r="AI764" s="129"/>
      <c r="AK764" s="130"/>
      <c r="AL764" s="128"/>
      <c r="AM764" s="129"/>
      <c r="AO764" s="130"/>
      <c r="AP764" s="128"/>
      <c r="AQ764" s="129"/>
      <c r="AS764" s="130"/>
      <c r="AT764" s="128"/>
      <c r="AU764" s="129"/>
      <c r="AW764" s="130"/>
      <c r="AX764" s="85"/>
      <c r="AY764" s="84"/>
      <c r="AZ764" s="84"/>
      <c r="BA764" s="131"/>
      <c r="BB764" s="84"/>
      <c r="BE764" s="84"/>
      <c r="BI764" s="86"/>
      <c r="BO764" s="84"/>
      <c r="BT764" s="84"/>
      <c r="BY764" s="84"/>
      <c r="CD764" s="84"/>
      <c r="CI764" s="128"/>
      <c r="CJ764" s="129"/>
      <c r="CL764" s="132"/>
      <c r="CM764" s="128"/>
      <c r="CN764" s="129"/>
      <c r="CP764" s="132"/>
      <c r="CQ764" s="128"/>
      <c r="CR764" s="129"/>
      <c r="CT764" s="132"/>
      <c r="CU764" s="128"/>
      <c r="CV764" s="129"/>
      <c r="CX764" s="132"/>
      <c r="CY764" s="128"/>
      <c r="CZ764" s="129"/>
      <c r="DB764" s="132"/>
      <c r="DC764" s="128"/>
      <c r="DD764" s="129"/>
      <c r="DF764" s="132"/>
      <c r="DG764" s="85"/>
      <c r="DH764" s="85"/>
      <c r="DI764" s="84"/>
      <c r="DK764" s="84"/>
      <c r="DP764" s="84"/>
      <c r="DU764" s="84"/>
      <c r="DY764" s="84"/>
      <c r="EC764" s="84"/>
      <c r="EG764" s="84"/>
      <c r="EK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128"/>
      <c r="AA765" s="129"/>
      <c r="AC765" s="130"/>
      <c r="AD765" s="128"/>
      <c r="AE765" s="129"/>
      <c r="AG765" s="130"/>
      <c r="AH765" s="128"/>
      <c r="AI765" s="129"/>
      <c r="AK765" s="130"/>
      <c r="AL765" s="128"/>
      <c r="AM765" s="129"/>
      <c r="AO765" s="130"/>
      <c r="AP765" s="128"/>
      <c r="AQ765" s="129"/>
      <c r="AS765" s="130"/>
      <c r="AT765" s="128"/>
      <c r="AU765" s="129"/>
      <c r="AW765" s="130"/>
      <c r="AX765" s="85"/>
      <c r="AY765" s="84"/>
      <c r="AZ765" s="84"/>
      <c r="BA765" s="131"/>
      <c r="BB765" s="84"/>
      <c r="BE765" s="84"/>
      <c r="BI765" s="86"/>
      <c r="BO765" s="84"/>
      <c r="BT765" s="84"/>
      <c r="BY765" s="84"/>
      <c r="CD765" s="84"/>
      <c r="CI765" s="128"/>
      <c r="CJ765" s="129"/>
      <c r="CL765" s="132"/>
      <c r="CM765" s="128"/>
      <c r="CN765" s="129"/>
      <c r="CP765" s="132"/>
      <c r="CQ765" s="128"/>
      <c r="CR765" s="129"/>
      <c r="CT765" s="132"/>
      <c r="CU765" s="128"/>
      <c r="CV765" s="129"/>
      <c r="CX765" s="132"/>
      <c r="CY765" s="128"/>
      <c r="CZ765" s="129"/>
      <c r="DB765" s="132"/>
      <c r="DC765" s="128"/>
      <c r="DD765" s="129"/>
      <c r="DF765" s="132"/>
      <c r="DG765" s="85"/>
      <c r="DH765" s="85"/>
      <c r="DI765" s="84"/>
      <c r="DK765" s="84"/>
      <c r="DP765" s="84"/>
      <c r="DU765" s="84"/>
      <c r="DY765" s="84"/>
      <c r="EC765" s="84"/>
      <c r="EG765" s="84"/>
      <c r="EK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128"/>
      <c r="AA766" s="129"/>
      <c r="AC766" s="130"/>
      <c r="AD766" s="128"/>
      <c r="AE766" s="129"/>
      <c r="AG766" s="130"/>
      <c r="AH766" s="128"/>
      <c r="AI766" s="129"/>
      <c r="AK766" s="130"/>
      <c r="AL766" s="128"/>
      <c r="AM766" s="129"/>
      <c r="AO766" s="130"/>
      <c r="AP766" s="128"/>
      <c r="AQ766" s="129"/>
      <c r="AS766" s="130"/>
      <c r="AT766" s="128"/>
      <c r="AU766" s="129"/>
      <c r="AW766" s="130"/>
      <c r="AX766" s="85"/>
      <c r="AY766" s="84"/>
      <c r="AZ766" s="84"/>
      <c r="BA766" s="131"/>
      <c r="BB766" s="84"/>
      <c r="BE766" s="84"/>
      <c r="BI766" s="86"/>
      <c r="BO766" s="84"/>
      <c r="BT766" s="84"/>
      <c r="BY766" s="84"/>
      <c r="CD766" s="84"/>
      <c r="CI766" s="128"/>
      <c r="CJ766" s="129"/>
      <c r="CL766" s="132"/>
      <c r="CM766" s="128"/>
      <c r="CN766" s="129"/>
      <c r="CP766" s="132"/>
      <c r="CQ766" s="128"/>
      <c r="CR766" s="129"/>
      <c r="CT766" s="132"/>
      <c r="CU766" s="128"/>
      <c r="CV766" s="129"/>
      <c r="CX766" s="132"/>
      <c r="CY766" s="128"/>
      <c r="CZ766" s="129"/>
      <c r="DB766" s="132"/>
      <c r="DC766" s="128"/>
      <c r="DD766" s="129"/>
      <c r="DF766" s="132"/>
      <c r="DG766" s="85"/>
      <c r="DH766" s="85"/>
      <c r="DI766" s="84"/>
      <c r="DK766" s="84"/>
      <c r="DP766" s="84"/>
      <c r="DU766" s="84"/>
      <c r="DY766" s="84"/>
      <c r="EC766" s="84"/>
      <c r="EG766" s="84"/>
      <c r="EK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128"/>
      <c r="AA767" s="129"/>
      <c r="AC767" s="130"/>
      <c r="AD767" s="128"/>
      <c r="AE767" s="129"/>
      <c r="AG767" s="130"/>
      <c r="AH767" s="128"/>
      <c r="AI767" s="129"/>
      <c r="AK767" s="130"/>
      <c r="AL767" s="128"/>
      <c r="AM767" s="129"/>
      <c r="AO767" s="130"/>
      <c r="AP767" s="128"/>
      <c r="AQ767" s="129"/>
      <c r="AS767" s="130"/>
      <c r="AT767" s="128"/>
      <c r="AU767" s="129"/>
      <c r="AW767" s="130"/>
      <c r="AX767" s="85"/>
      <c r="AY767" s="84"/>
      <c r="AZ767" s="84"/>
      <c r="BA767" s="131"/>
      <c r="BB767" s="84"/>
      <c r="BE767" s="84"/>
      <c r="BI767" s="86"/>
      <c r="BO767" s="84"/>
      <c r="BT767" s="84"/>
      <c r="BY767" s="84"/>
      <c r="CD767" s="84"/>
      <c r="CI767" s="128"/>
      <c r="CJ767" s="129"/>
      <c r="CL767" s="132"/>
      <c r="CM767" s="128"/>
      <c r="CN767" s="129"/>
      <c r="CP767" s="132"/>
      <c r="CQ767" s="128"/>
      <c r="CR767" s="129"/>
      <c r="CT767" s="132"/>
      <c r="CU767" s="128"/>
      <c r="CV767" s="129"/>
      <c r="CX767" s="132"/>
      <c r="CY767" s="128"/>
      <c r="CZ767" s="129"/>
      <c r="DB767" s="132"/>
      <c r="DC767" s="128"/>
      <c r="DD767" s="129"/>
      <c r="DF767" s="132"/>
      <c r="DG767" s="85"/>
      <c r="DH767" s="85"/>
      <c r="DI767" s="84"/>
      <c r="DK767" s="84"/>
      <c r="DP767" s="84"/>
      <c r="DU767" s="84"/>
      <c r="DY767" s="84"/>
      <c r="EC767" s="84"/>
      <c r="EG767" s="84"/>
      <c r="EK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128"/>
      <c r="AA768" s="129"/>
      <c r="AC768" s="130"/>
      <c r="AD768" s="128"/>
      <c r="AE768" s="129"/>
      <c r="AG768" s="130"/>
      <c r="AH768" s="128"/>
      <c r="AI768" s="129"/>
      <c r="AK768" s="130"/>
      <c r="AL768" s="128"/>
      <c r="AM768" s="129"/>
      <c r="AO768" s="130"/>
      <c r="AP768" s="128"/>
      <c r="AQ768" s="129"/>
      <c r="AS768" s="130"/>
      <c r="AT768" s="128"/>
      <c r="AU768" s="129"/>
      <c r="AW768" s="130"/>
      <c r="AX768" s="85"/>
      <c r="AY768" s="84"/>
      <c r="AZ768" s="84"/>
      <c r="BA768" s="131"/>
      <c r="BB768" s="84"/>
      <c r="BE768" s="84"/>
      <c r="BI768" s="86"/>
      <c r="BO768" s="84"/>
      <c r="BT768" s="84"/>
      <c r="BY768" s="84"/>
      <c r="CD768" s="84"/>
      <c r="CI768" s="128"/>
      <c r="CJ768" s="129"/>
      <c r="CL768" s="132"/>
      <c r="CM768" s="128"/>
      <c r="CN768" s="129"/>
      <c r="CP768" s="132"/>
      <c r="CQ768" s="128"/>
      <c r="CR768" s="129"/>
      <c r="CT768" s="132"/>
      <c r="CU768" s="128"/>
      <c r="CV768" s="129"/>
      <c r="CX768" s="132"/>
      <c r="CY768" s="128"/>
      <c r="CZ768" s="129"/>
      <c r="DB768" s="132"/>
      <c r="DC768" s="128"/>
      <c r="DD768" s="129"/>
      <c r="DF768" s="132"/>
      <c r="DG768" s="85"/>
      <c r="DH768" s="85"/>
      <c r="DI768" s="84"/>
      <c r="DK768" s="84"/>
      <c r="DP768" s="84"/>
      <c r="DU768" s="84"/>
      <c r="DY768" s="84"/>
      <c r="EC768" s="84"/>
      <c r="EG768" s="84"/>
      <c r="EK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128"/>
      <c r="AA769" s="129"/>
      <c r="AC769" s="130"/>
      <c r="AD769" s="128"/>
      <c r="AE769" s="129"/>
      <c r="AG769" s="130"/>
      <c r="AH769" s="128"/>
      <c r="AI769" s="129"/>
      <c r="AK769" s="130"/>
      <c r="AL769" s="128"/>
      <c r="AM769" s="129"/>
      <c r="AO769" s="130"/>
      <c r="AP769" s="128"/>
      <c r="AQ769" s="129"/>
      <c r="AS769" s="130"/>
      <c r="AT769" s="128"/>
      <c r="AU769" s="129"/>
      <c r="AW769" s="130"/>
      <c r="AX769" s="85"/>
      <c r="AY769" s="84"/>
      <c r="AZ769" s="84"/>
      <c r="BA769" s="131"/>
      <c r="BB769" s="84"/>
      <c r="BE769" s="84"/>
      <c r="BI769" s="86"/>
      <c r="BO769" s="84"/>
      <c r="BT769" s="84"/>
      <c r="BY769" s="84"/>
      <c r="CD769" s="84"/>
      <c r="CI769" s="128"/>
      <c r="CJ769" s="129"/>
      <c r="CL769" s="132"/>
      <c r="CM769" s="128"/>
      <c r="CN769" s="129"/>
      <c r="CP769" s="132"/>
      <c r="CQ769" s="128"/>
      <c r="CR769" s="129"/>
      <c r="CT769" s="132"/>
      <c r="CU769" s="128"/>
      <c r="CV769" s="129"/>
      <c r="CX769" s="132"/>
      <c r="CY769" s="128"/>
      <c r="CZ769" s="129"/>
      <c r="DB769" s="132"/>
      <c r="DC769" s="128"/>
      <c r="DD769" s="129"/>
      <c r="DF769" s="132"/>
      <c r="DG769" s="85"/>
      <c r="DH769" s="85"/>
      <c r="DI769" s="84"/>
      <c r="DK769" s="84"/>
      <c r="DP769" s="84"/>
      <c r="DU769" s="84"/>
      <c r="DY769" s="84"/>
      <c r="EC769" s="84"/>
      <c r="EG769" s="84"/>
      <c r="EK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128"/>
      <c r="AA770" s="129"/>
      <c r="AC770" s="130"/>
      <c r="AD770" s="128"/>
      <c r="AE770" s="129"/>
      <c r="AG770" s="130"/>
      <c r="AH770" s="128"/>
      <c r="AI770" s="129"/>
      <c r="AK770" s="130"/>
      <c r="AL770" s="128"/>
      <c r="AM770" s="129"/>
      <c r="AO770" s="130"/>
      <c r="AP770" s="128"/>
      <c r="AQ770" s="129"/>
      <c r="AS770" s="130"/>
      <c r="AT770" s="128"/>
      <c r="AU770" s="129"/>
      <c r="AW770" s="130"/>
      <c r="AX770" s="85"/>
      <c r="AY770" s="84"/>
      <c r="AZ770" s="84"/>
      <c r="BA770" s="131"/>
      <c r="BB770" s="84"/>
      <c r="BE770" s="84"/>
      <c r="BI770" s="86"/>
      <c r="BO770" s="84"/>
      <c r="BT770" s="84"/>
      <c r="BY770" s="84"/>
      <c r="CD770" s="84"/>
      <c r="CI770" s="128"/>
      <c r="CJ770" s="129"/>
      <c r="CL770" s="132"/>
      <c r="CM770" s="128"/>
      <c r="CN770" s="129"/>
      <c r="CP770" s="132"/>
      <c r="CQ770" s="128"/>
      <c r="CR770" s="129"/>
      <c r="CT770" s="132"/>
      <c r="CU770" s="128"/>
      <c r="CV770" s="129"/>
      <c r="CX770" s="132"/>
      <c r="CY770" s="128"/>
      <c r="CZ770" s="129"/>
      <c r="DB770" s="132"/>
      <c r="DC770" s="128"/>
      <c r="DD770" s="129"/>
      <c r="DF770" s="132"/>
      <c r="DG770" s="85"/>
      <c r="DH770" s="85"/>
      <c r="DI770" s="84"/>
      <c r="DK770" s="84"/>
      <c r="DP770" s="84"/>
      <c r="DU770" s="84"/>
      <c r="DY770" s="84"/>
      <c r="EC770" s="84"/>
      <c r="EG770" s="84"/>
      <c r="EK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128"/>
      <c r="AA771" s="129"/>
      <c r="AC771" s="130"/>
      <c r="AD771" s="128"/>
      <c r="AE771" s="129"/>
      <c r="AG771" s="130"/>
      <c r="AH771" s="128"/>
      <c r="AI771" s="129"/>
      <c r="AK771" s="130"/>
      <c r="AL771" s="128"/>
      <c r="AM771" s="129"/>
      <c r="AO771" s="130"/>
      <c r="AP771" s="128"/>
      <c r="AQ771" s="129"/>
      <c r="AS771" s="130"/>
      <c r="AT771" s="128"/>
      <c r="AU771" s="129"/>
      <c r="AW771" s="130"/>
      <c r="AX771" s="85"/>
      <c r="AY771" s="84"/>
      <c r="AZ771" s="84"/>
      <c r="BA771" s="131"/>
      <c r="BB771" s="84"/>
      <c r="BE771" s="84"/>
      <c r="BI771" s="86"/>
      <c r="BO771" s="84"/>
      <c r="BT771" s="84"/>
      <c r="BY771" s="84"/>
      <c r="CD771" s="84"/>
      <c r="CI771" s="128"/>
      <c r="CJ771" s="129"/>
      <c r="CL771" s="132"/>
      <c r="CM771" s="128"/>
      <c r="CN771" s="129"/>
      <c r="CP771" s="132"/>
      <c r="CQ771" s="128"/>
      <c r="CR771" s="129"/>
      <c r="CT771" s="132"/>
      <c r="CU771" s="128"/>
      <c r="CV771" s="129"/>
      <c r="CX771" s="132"/>
      <c r="CY771" s="128"/>
      <c r="CZ771" s="129"/>
      <c r="DB771" s="132"/>
      <c r="DC771" s="128"/>
      <c r="DD771" s="129"/>
      <c r="DF771" s="132"/>
      <c r="DG771" s="85"/>
      <c r="DH771" s="85"/>
      <c r="DI771" s="84"/>
      <c r="DK771" s="84"/>
      <c r="DP771" s="84"/>
      <c r="DU771" s="84"/>
      <c r="DY771" s="84"/>
      <c r="EC771" s="84"/>
      <c r="EG771" s="84"/>
      <c r="EK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128"/>
      <c r="AA772" s="129"/>
      <c r="AC772" s="130"/>
      <c r="AD772" s="128"/>
      <c r="AE772" s="129"/>
      <c r="AG772" s="130"/>
      <c r="AH772" s="128"/>
      <c r="AI772" s="129"/>
      <c r="AK772" s="130"/>
      <c r="AL772" s="128"/>
      <c r="AM772" s="129"/>
      <c r="AO772" s="130"/>
      <c r="AP772" s="128"/>
      <c r="AQ772" s="129"/>
      <c r="AS772" s="130"/>
      <c r="AT772" s="128"/>
      <c r="AU772" s="129"/>
      <c r="AW772" s="130"/>
      <c r="AX772" s="85"/>
      <c r="AY772" s="84"/>
      <c r="AZ772" s="84"/>
      <c r="BA772" s="131"/>
      <c r="BB772" s="84"/>
      <c r="BE772" s="84"/>
      <c r="BI772" s="86"/>
      <c r="BO772" s="84"/>
      <c r="BT772" s="84"/>
      <c r="BY772" s="84"/>
      <c r="CD772" s="84"/>
      <c r="CI772" s="128"/>
      <c r="CJ772" s="129"/>
      <c r="CL772" s="132"/>
      <c r="CM772" s="128"/>
      <c r="CN772" s="129"/>
      <c r="CP772" s="132"/>
      <c r="CQ772" s="128"/>
      <c r="CR772" s="129"/>
      <c r="CT772" s="132"/>
      <c r="CU772" s="128"/>
      <c r="CV772" s="129"/>
      <c r="CX772" s="132"/>
      <c r="CY772" s="128"/>
      <c r="CZ772" s="129"/>
      <c r="DB772" s="132"/>
      <c r="DC772" s="128"/>
      <c r="DD772" s="129"/>
      <c r="DF772" s="132"/>
      <c r="DG772" s="85"/>
      <c r="DH772" s="85"/>
      <c r="DI772" s="84"/>
      <c r="DK772" s="84"/>
      <c r="DP772" s="84"/>
      <c r="DU772" s="84"/>
      <c r="DY772" s="84"/>
      <c r="EC772" s="84"/>
      <c r="EG772" s="84"/>
      <c r="EK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128"/>
      <c r="AA773" s="129"/>
      <c r="AC773" s="130"/>
      <c r="AD773" s="128"/>
      <c r="AE773" s="129"/>
      <c r="AG773" s="130"/>
      <c r="AH773" s="128"/>
      <c r="AI773" s="129"/>
      <c r="AK773" s="130"/>
      <c r="AL773" s="128"/>
      <c r="AM773" s="129"/>
      <c r="AO773" s="130"/>
      <c r="AP773" s="128"/>
      <c r="AQ773" s="129"/>
      <c r="AS773" s="130"/>
      <c r="AT773" s="128"/>
      <c r="AU773" s="129"/>
      <c r="AW773" s="130"/>
      <c r="AX773" s="85"/>
      <c r="AY773" s="84"/>
      <c r="AZ773" s="84"/>
      <c r="BA773" s="131"/>
      <c r="BB773" s="84"/>
      <c r="BE773" s="84"/>
      <c r="BI773" s="86"/>
      <c r="BO773" s="84"/>
      <c r="BT773" s="84"/>
      <c r="BY773" s="84"/>
      <c r="CD773" s="84"/>
      <c r="CI773" s="128"/>
      <c r="CJ773" s="129"/>
      <c r="CL773" s="132"/>
      <c r="CM773" s="128"/>
      <c r="CN773" s="129"/>
      <c r="CP773" s="132"/>
      <c r="CQ773" s="128"/>
      <c r="CR773" s="129"/>
      <c r="CT773" s="132"/>
      <c r="CU773" s="128"/>
      <c r="CV773" s="129"/>
      <c r="CX773" s="132"/>
      <c r="CY773" s="128"/>
      <c r="CZ773" s="129"/>
      <c r="DB773" s="132"/>
      <c r="DC773" s="128"/>
      <c r="DD773" s="129"/>
      <c r="DF773" s="132"/>
      <c r="DG773" s="85"/>
      <c r="DH773" s="85"/>
      <c r="DI773" s="84"/>
      <c r="DK773" s="84"/>
      <c r="DP773" s="84"/>
      <c r="DU773" s="84"/>
      <c r="DY773" s="84"/>
      <c r="EC773" s="84"/>
      <c r="EG773" s="84"/>
      <c r="EK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128"/>
      <c r="AA774" s="129"/>
      <c r="AC774" s="130"/>
      <c r="AD774" s="128"/>
      <c r="AE774" s="129"/>
      <c r="AG774" s="130"/>
      <c r="AH774" s="128"/>
      <c r="AI774" s="129"/>
      <c r="AK774" s="130"/>
      <c r="AL774" s="128"/>
      <c r="AM774" s="129"/>
      <c r="AO774" s="130"/>
      <c r="AP774" s="128"/>
      <c r="AQ774" s="129"/>
      <c r="AS774" s="130"/>
      <c r="AT774" s="128"/>
      <c r="AU774" s="129"/>
      <c r="AW774" s="130"/>
      <c r="AX774" s="85"/>
      <c r="AY774" s="84"/>
      <c r="AZ774" s="84"/>
      <c r="BA774" s="131"/>
      <c r="BB774" s="84"/>
      <c r="BE774" s="84"/>
      <c r="BI774" s="86"/>
      <c r="BO774" s="84"/>
      <c r="BT774" s="84"/>
      <c r="BY774" s="84"/>
      <c r="CD774" s="84"/>
      <c r="CI774" s="128"/>
      <c r="CJ774" s="129"/>
      <c r="CL774" s="132"/>
      <c r="CM774" s="128"/>
      <c r="CN774" s="129"/>
      <c r="CP774" s="132"/>
      <c r="CQ774" s="128"/>
      <c r="CR774" s="129"/>
      <c r="CT774" s="132"/>
      <c r="CU774" s="128"/>
      <c r="CV774" s="129"/>
      <c r="CX774" s="132"/>
      <c r="CY774" s="128"/>
      <c r="CZ774" s="129"/>
      <c r="DB774" s="132"/>
      <c r="DC774" s="128"/>
      <c r="DD774" s="129"/>
      <c r="DF774" s="132"/>
      <c r="DG774" s="85"/>
      <c r="DH774" s="85"/>
      <c r="DI774" s="84"/>
      <c r="DK774" s="84"/>
      <c r="DP774" s="84"/>
      <c r="DU774" s="84"/>
      <c r="DY774" s="84"/>
      <c r="EC774" s="84"/>
      <c r="EG774" s="84"/>
      <c r="EK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128"/>
      <c r="AA775" s="129"/>
      <c r="AC775" s="130"/>
      <c r="AD775" s="128"/>
      <c r="AE775" s="129"/>
      <c r="AG775" s="130"/>
      <c r="AH775" s="128"/>
      <c r="AI775" s="129"/>
      <c r="AK775" s="130"/>
      <c r="AL775" s="128"/>
      <c r="AM775" s="129"/>
      <c r="AO775" s="130"/>
      <c r="AP775" s="128"/>
      <c r="AQ775" s="129"/>
      <c r="AS775" s="130"/>
      <c r="AT775" s="128"/>
      <c r="AU775" s="129"/>
      <c r="AW775" s="130"/>
      <c r="AX775" s="85"/>
      <c r="AY775" s="84"/>
      <c r="AZ775" s="84"/>
      <c r="BA775" s="131"/>
      <c r="BB775" s="84"/>
      <c r="BE775" s="84"/>
      <c r="BI775" s="86"/>
      <c r="BO775" s="84"/>
      <c r="BT775" s="84"/>
      <c r="BY775" s="84"/>
      <c r="CD775" s="84"/>
      <c r="CI775" s="128"/>
      <c r="CJ775" s="129"/>
      <c r="CL775" s="132"/>
      <c r="CM775" s="128"/>
      <c r="CN775" s="129"/>
      <c r="CP775" s="132"/>
      <c r="CQ775" s="128"/>
      <c r="CR775" s="129"/>
      <c r="CT775" s="132"/>
      <c r="CU775" s="128"/>
      <c r="CV775" s="129"/>
      <c r="CX775" s="132"/>
      <c r="CY775" s="128"/>
      <c r="CZ775" s="129"/>
      <c r="DB775" s="132"/>
      <c r="DC775" s="128"/>
      <c r="DD775" s="129"/>
      <c r="DF775" s="132"/>
      <c r="DG775" s="85"/>
      <c r="DH775" s="85"/>
      <c r="DI775" s="84"/>
      <c r="DK775" s="84"/>
      <c r="DP775" s="84"/>
      <c r="DU775" s="84"/>
      <c r="DY775" s="84"/>
      <c r="EC775" s="84"/>
      <c r="EG775" s="84"/>
      <c r="EK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128"/>
      <c r="AA776" s="129"/>
      <c r="AC776" s="130"/>
      <c r="AD776" s="128"/>
      <c r="AE776" s="129"/>
      <c r="AG776" s="130"/>
      <c r="AH776" s="128"/>
      <c r="AI776" s="129"/>
      <c r="AK776" s="130"/>
      <c r="AL776" s="128"/>
      <c r="AM776" s="129"/>
      <c r="AO776" s="130"/>
      <c r="AP776" s="128"/>
      <c r="AQ776" s="129"/>
      <c r="AS776" s="130"/>
      <c r="AT776" s="128"/>
      <c r="AU776" s="129"/>
      <c r="AW776" s="130"/>
      <c r="AX776" s="85"/>
      <c r="AY776" s="84"/>
      <c r="AZ776" s="84"/>
      <c r="BA776" s="131"/>
      <c r="BB776" s="84"/>
      <c r="BE776" s="84"/>
      <c r="BI776" s="86"/>
      <c r="BO776" s="84"/>
      <c r="BT776" s="84"/>
      <c r="BY776" s="84"/>
      <c r="CD776" s="84"/>
      <c r="CI776" s="128"/>
      <c r="CJ776" s="129"/>
      <c r="CL776" s="132"/>
      <c r="CM776" s="128"/>
      <c r="CN776" s="129"/>
      <c r="CP776" s="132"/>
      <c r="CQ776" s="128"/>
      <c r="CR776" s="129"/>
      <c r="CT776" s="132"/>
      <c r="CU776" s="128"/>
      <c r="CV776" s="129"/>
      <c r="CX776" s="132"/>
      <c r="CY776" s="128"/>
      <c r="CZ776" s="129"/>
      <c r="DB776" s="132"/>
      <c r="DC776" s="128"/>
      <c r="DD776" s="129"/>
      <c r="DF776" s="132"/>
      <c r="DG776" s="85"/>
      <c r="DH776" s="85"/>
      <c r="DI776" s="84"/>
      <c r="DK776" s="84"/>
      <c r="DP776" s="84"/>
      <c r="DU776" s="84"/>
      <c r="DY776" s="84"/>
      <c r="EC776" s="84"/>
      <c r="EG776" s="84"/>
      <c r="EK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128"/>
      <c r="AA777" s="129"/>
      <c r="AC777" s="130"/>
      <c r="AD777" s="128"/>
      <c r="AE777" s="129"/>
      <c r="AG777" s="130"/>
      <c r="AH777" s="128"/>
      <c r="AI777" s="129"/>
      <c r="AK777" s="130"/>
      <c r="AL777" s="128"/>
      <c r="AM777" s="129"/>
      <c r="AO777" s="130"/>
      <c r="AP777" s="128"/>
      <c r="AQ777" s="129"/>
      <c r="AS777" s="130"/>
      <c r="AT777" s="128"/>
      <c r="AU777" s="129"/>
      <c r="AW777" s="130"/>
      <c r="AX777" s="85"/>
      <c r="AY777" s="84"/>
      <c r="AZ777" s="84"/>
      <c r="BA777" s="131"/>
      <c r="BB777" s="84"/>
      <c r="BE777" s="84"/>
      <c r="BI777" s="86"/>
      <c r="BO777" s="84"/>
      <c r="BT777" s="84"/>
      <c r="BY777" s="84"/>
      <c r="CD777" s="84"/>
      <c r="CI777" s="128"/>
      <c r="CJ777" s="129"/>
      <c r="CL777" s="132"/>
      <c r="CM777" s="128"/>
      <c r="CN777" s="129"/>
      <c r="CP777" s="132"/>
      <c r="CQ777" s="128"/>
      <c r="CR777" s="129"/>
      <c r="CT777" s="132"/>
      <c r="CU777" s="128"/>
      <c r="CV777" s="129"/>
      <c r="CX777" s="132"/>
      <c r="CY777" s="128"/>
      <c r="CZ777" s="129"/>
      <c r="DB777" s="132"/>
      <c r="DC777" s="128"/>
      <c r="DD777" s="129"/>
      <c r="DF777" s="132"/>
      <c r="DG777" s="85"/>
      <c r="DH777" s="85"/>
      <c r="DI777" s="84"/>
      <c r="DK777" s="84"/>
      <c r="DP777" s="84"/>
      <c r="DU777" s="84"/>
      <c r="DY777" s="84"/>
      <c r="EC777" s="84"/>
      <c r="EG777" s="84"/>
      <c r="EK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128"/>
      <c r="AA778" s="129"/>
      <c r="AC778" s="130"/>
      <c r="AD778" s="128"/>
      <c r="AE778" s="129"/>
      <c r="AG778" s="130"/>
      <c r="AH778" s="128"/>
      <c r="AI778" s="129"/>
      <c r="AK778" s="130"/>
      <c r="AL778" s="128"/>
      <c r="AM778" s="129"/>
      <c r="AO778" s="130"/>
      <c r="AP778" s="128"/>
      <c r="AQ778" s="129"/>
      <c r="AS778" s="130"/>
      <c r="AT778" s="128"/>
      <c r="AU778" s="129"/>
      <c r="AW778" s="130"/>
      <c r="AX778" s="85"/>
      <c r="AY778" s="84"/>
      <c r="AZ778" s="84"/>
      <c r="BA778" s="131"/>
      <c r="BB778" s="84"/>
      <c r="BE778" s="84"/>
      <c r="BI778" s="86"/>
      <c r="BO778" s="84"/>
      <c r="BT778" s="84"/>
      <c r="BY778" s="84"/>
      <c r="CD778" s="84"/>
      <c r="CI778" s="128"/>
      <c r="CJ778" s="129"/>
      <c r="CL778" s="132"/>
      <c r="CM778" s="128"/>
      <c r="CN778" s="129"/>
      <c r="CP778" s="132"/>
      <c r="CQ778" s="128"/>
      <c r="CR778" s="129"/>
      <c r="CT778" s="132"/>
      <c r="CU778" s="128"/>
      <c r="CV778" s="129"/>
      <c r="CX778" s="132"/>
      <c r="CY778" s="128"/>
      <c r="CZ778" s="129"/>
      <c r="DB778" s="132"/>
      <c r="DC778" s="128"/>
      <c r="DD778" s="129"/>
      <c r="DF778" s="132"/>
      <c r="DG778" s="85"/>
      <c r="DH778" s="85"/>
      <c r="DI778" s="84"/>
      <c r="DK778" s="84"/>
      <c r="DP778" s="84"/>
      <c r="DU778" s="84"/>
      <c r="DY778" s="84"/>
      <c r="EC778" s="84"/>
      <c r="EG778" s="84"/>
      <c r="EK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128"/>
      <c r="AA779" s="129"/>
      <c r="AC779" s="130"/>
      <c r="AD779" s="128"/>
      <c r="AE779" s="129"/>
      <c r="AG779" s="130"/>
      <c r="AH779" s="128"/>
      <c r="AI779" s="129"/>
      <c r="AK779" s="130"/>
      <c r="AL779" s="128"/>
      <c r="AM779" s="129"/>
      <c r="AO779" s="130"/>
      <c r="AP779" s="128"/>
      <c r="AQ779" s="129"/>
      <c r="AS779" s="130"/>
      <c r="AT779" s="128"/>
      <c r="AU779" s="129"/>
      <c r="AW779" s="130"/>
      <c r="AX779" s="85"/>
      <c r="AY779" s="84"/>
      <c r="AZ779" s="84"/>
      <c r="BA779" s="131"/>
      <c r="BB779" s="84"/>
      <c r="BE779" s="84"/>
      <c r="BI779" s="86"/>
      <c r="BO779" s="84"/>
      <c r="BT779" s="84"/>
      <c r="BY779" s="84"/>
      <c r="CD779" s="84"/>
      <c r="CI779" s="128"/>
      <c r="CJ779" s="129"/>
      <c r="CL779" s="132"/>
      <c r="CM779" s="128"/>
      <c r="CN779" s="129"/>
      <c r="CP779" s="132"/>
      <c r="CQ779" s="128"/>
      <c r="CR779" s="129"/>
      <c r="CT779" s="132"/>
      <c r="CU779" s="128"/>
      <c r="CV779" s="129"/>
      <c r="CX779" s="132"/>
      <c r="CY779" s="128"/>
      <c r="CZ779" s="129"/>
      <c r="DB779" s="132"/>
      <c r="DC779" s="128"/>
      <c r="DD779" s="129"/>
      <c r="DF779" s="132"/>
      <c r="DG779" s="85"/>
      <c r="DH779" s="85"/>
      <c r="DI779" s="84"/>
      <c r="DK779" s="84"/>
      <c r="DP779" s="84"/>
      <c r="DU779" s="84"/>
      <c r="DY779" s="84"/>
      <c r="EC779" s="84"/>
      <c r="EG779" s="84"/>
      <c r="EK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128"/>
      <c r="AA780" s="129"/>
      <c r="AC780" s="130"/>
      <c r="AD780" s="128"/>
      <c r="AE780" s="129"/>
      <c r="AG780" s="130"/>
      <c r="AH780" s="128"/>
      <c r="AI780" s="129"/>
      <c r="AK780" s="130"/>
      <c r="AL780" s="128"/>
      <c r="AM780" s="129"/>
      <c r="AO780" s="130"/>
      <c r="AP780" s="128"/>
      <c r="AQ780" s="129"/>
      <c r="AS780" s="130"/>
      <c r="AT780" s="128"/>
      <c r="AU780" s="129"/>
      <c r="AW780" s="130"/>
      <c r="AX780" s="85"/>
      <c r="AY780" s="84"/>
      <c r="AZ780" s="84"/>
      <c r="BA780" s="131"/>
      <c r="BB780" s="84"/>
      <c r="BE780" s="84"/>
      <c r="BI780" s="86"/>
      <c r="BO780" s="84"/>
      <c r="BT780" s="84"/>
      <c r="BY780" s="84"/>
      <c r="CD780" s="84"/>
      <c r="CI780" s="128"/>
      <c r="CJ780" s="129"/>
      <c r="CL780" s="132"/>
      <c r="CM780" s="128"/>
      <c r="CN780" s="129"/>
      <c r="CP780" s="132"/>
      <c r="CQ780" s="128"/>
      <c r="CR780" s="129"/>
      <c r="CT780" s="132"/>
      <c r="CU780" s="128"/>
      <c r="CV780" s="129"/>
      <c r="CX780" s="132"/>
      <c r="CY780" s="128"/>
      <c r="CZ780" s="129"/>
      <c r="DB780" s="132"/>
      <c r="DC780" s="128"/>
      <c r="DD780" s="129"/>
      <c r="DF780" s="132"/>
      <c r="DG780" s="85"/>
      <c r="DH780" s="85"/>
      <c r="DI780" s="84"/>
      <c r="DK780" s="84"/>
      <c r="DP780" s="84"/>
      <c r="DU780" s="84"/>
      <c r="DY780" s="84"/>
      <c r="EC780" s="84"/>
      <c r="EG780" s="84"/>
      <c r="EK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128"/>
      <c r="AA781" s="129"/>
      <c r="AC781" s="130"/>
      <c r="AD781" s="128"/>
      <c r="AE781" s="129"/>
      <c r="AG781" s="130"/>
      <c r="AH781" s="128"/>
      <c r="AI781" s="129"/>
      <c r="AK781" s="130"/>
      <c r="AL781" s="128"/>
      <c r="AM781" s="129"/>
      <c r="AO781" s="130"/>
      <c r="AP781" s="128"/>
      <c r="AQ781" s="129"/>
      <c r="AS781" s="130"/>
      <c r="AT781" s="128"/>
      <c r="AU781" s="129"/>
      <c r="AW781" s="130"/>
      <c r="AX781" s="85"/>
      <c r="AY781" s="84"/>
      <c r="AZ781" s="84"/>
      <c r="BA781" s="131"/>
      <c r="BB781" s="84"/>
      <c r="BE781" s="84"/>
      <c r="BI781" s="86"/>
      <c r="BO781" s="84"/>
      <c r="BT781" s="84"/>
      <c r="BY781" s="84"/>
      <c r="CD781" s="84"/>
      <c r="CI781" s="128"/>
      <c r="CJ781" s="129"/>
      <c r="CL781" s="132"/>
      <c r="CM781" s="128"/>
      <c r="CN781" s="129"/>
      <c r="CP781" s="132"/>
      <c r="CQ781" s="128"/>
      <c r="CR781" s="129"/>
      <c r="CT781" s="132"/>
      <c r="CU781" s="128"/>
      <c r="CV781" s="129"/>
      <c r="CX781" s="132"/>
      <c r="CY781" s="128"/>
      <c r="CZ781" s="129"/>
      <c r="DB781" s="132"/>
      <c r="DC781" s="128"/>
      <c r="DD781" s="129"/>
      <c r="DF781" s="132"/>
      <c r="DG781" s="85"/>
      <c r="DH781" s="85"/>
      <c r="DI781" s="84"/>
      <c r="DK781" s="84"/>
      <c r="DP781" s="84"/>
      <c r="DU781" s="84"/>
      <c r="DY781" s="84"/>
      <c r="EC781" s="84"/>
      <c r="EG781" s="84"/>
      <c r="EK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128"/>
      <c r="AA782" s="129"/>
      <c r="AC782" s="130"/>
      <c r="AD782" s="128"/>
      <c r="AE782" s="129"/>
      <c r="AG782" s="130"/>
      <c r="AH782" s="128"/>
      <c r="AI782" s="129"/>
      <c r="AK782" s="130"/>
      <c r="AL782" s="128"/>
      <c r="AM782" s="129"/>
      <c r="AO782" s="130"/>
      <c r="AP782" s="128"/>
      <c r="AQ782" s="129"/>
      <c r="AS782" s="130"/>
      <c r="AT782" s="128"/>
      <c r="AU782" s="129"/>
      <c r="AW782" s="130"/>
      <c r="AX782" s="85"/>
      <c r="AY782" s="84"/>
      <c r="AZ782" s="84"/>
      <c r="BA782" s="131"/>
      <c r="BB782" s="84"/>
      <c r="BE782" s="84"/>
      <c r="BI782" s="86"/>
      <c r="BO782" s="84"/>
      <c r="BT782" s="84"/>
      <c r="BY782" s="84"/>
      <c r="CD782" s="84"/>
      <c r="CI782" s="128"/>
      <c r="CJ782" s="129"/>
      <c r="CL782" s="132"/>
      <c r="CM782" s="128"/>
      <c r="CN782" s="129"/>
      <c r="CP782" s="132"/>
      <c r="CQ782" s="128"/>
      <c r="CR782" s="129"/>
      <c r="CT782" s="132"/>
      <c r="CU782" s="128"/>
      <c r="CV782" s="129"/>
      <c r="CX782" s="132"/>
      <c r="CY782" s="128"/>
      <c r="CZ782" s="129"/>
      <c r="DB782" s="132"/>
      <c r="DC782" s="128"/>
      <c r="DD782" s="129"/>
      <c r="DF782" s="132"/>
      <c r="DG782" s="85"/>
      <c r="DH782" s="85"/>
      <c r="DI782" s="84"/>
      <c r="DK782" s="84"/>
      <c r="DP782" s="84"/>
      <c r="DU782" s="84"/>
      <c r="DY782" s="84"/>
      <c r="EC782" s="84"/>
      <c r="EG782" s="84"/>
      <c r="EK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128"/>
      <c r="AA783" s="129"/>
      <c r="AC783" s="130"/>
      <c r="AD783" s="128"/>
      <c r="AE783" s="129"/>
      <c r="AG783" s="130"/>
      <c r="AH783" s="128"/>
      <c r="AI783" s="129"/>
      <c r="AK783" s="130"/>
      <c r="AL783" s="128"/>
      <c r="AM783" s="129"/>
      <c r="AO783" s="130"/>
      <c r="AP783" s="128"/>
      <c r="AQ783" s="129"/>
      <c r="AS783" s="130"/>
      <c r="AT783" s="128"/>
      <c r="AU783" s="129"/>
      <c r="AW783" s="130"/>
      <c r="AX783" s="85"/>
      <c r="AY783" s="84"/>
      <c r="AZ783" s="84"/>
      <c r="BA783" s="131"/>
      <c r="BB783" s="84"/>
      <c r="BE783" s="84"/>
      <c r="BI783" s="86"/>
      <c r="BO783" s="84"/>
      <c r="BT783" s="84"/>
      <c r="BY783" s="84"/>
      <c r="CD783" s="84"/>
      <c r="CI783" s="128"/>
      <c r="CJ783" s="129"/>
      <c r="CL783" s="132"/>
      <c r="CM783" s="128"/>
      <c r="CN783" s="129"/>
      <c r="CP783" s="132"/>
      <c r="CQ783" s="128"/>
      <c r="CR783" s="129"/>
      <c r="CT783" s="132"/>
      <c r="CU783" s="128"/>
      <c r="CV783" s="129"/>
      <c r="CX783" s="132"/>
      <c r="CY783" s="128"/>
      <c r="CZ783" s="129"/>
      <c r="DB783" s="132"/>
      <c r="DC783" s="128"/>
      <c r="DD783" s="129"/>
      <c r="DF783" s="132"/>
      <c r="DG783" s="85"/>
      <c r="DH783" s="85"/>
      <c r="DI783" s="84"/>
      <c r="DK783" s="84"/>
      <c r="DP783" s="84"/>
      <c r="DU783" s="84"/>
      <c r="DY783" s="84"/>
      <c r="EC783" s="84"/>
      <c r="EG783" s="84"/>
      <c r="EK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128"/>
      <c r="AA784" s="129"/>
      <c r="AC784" s="130"/>
      <c r="AD784" s="128"/>
      <c r="AE784" s="129"/>
      <c r="AG784" s="130"/>
      <c r="AH784" s="128"/>
      <c r="AI784" s="129"/>
      <c r="AK784" s="130"/>
      <c r="AL784" s="128"/>
      <c r="AM784" s="129"/>
      <c r="AO784" s="130"/>
      <c r="AP784" s="128"/>
      <c r="AQ784" s="129"/>
      <c r="AS784" s="130"/>
      <c r="AT784" s="128"/>
      <c r="AU784" s="129"/>
      <c r="AW784" s="130"/>
      <c r="AX784" s="85"/>
      <c r="AY784" s="84"/>
      <c r="AZ784" s="84"/>
      <c r="BA784" s="131"/>
      <c r="BB784" s="84"/>
      <c r="BE784" s="84"/>
      <c r="BI784" s="86"/>
      <c r="BO784" s="84"/>
      <c r="BT784" s="84"/>
      <c r="BY784" s="84"/>
      <c r="CD784" s="84"/>
      <c r="CI784" s="128"/>
      <c r="CJ784" s="129"/>
      <c r="CL784" s="132"/>
      <c r="CM784" s="128"/>
      <c r="CN784" s="129"/>
      <c r="CP784" s="132"/>
      <c r="CQ784" s="128"/>
      <c r="CR784" s="129"/>
      <c r="CT784" s="132"/>
      <c r="CU784" s="128"/>
      <c r="CV784" s="129"/>
      <c r="CX784" s="132"/>
      <c r="CY784" s="128"/>
      <c r="CZ784" s="129"/>
      <c r="DB784" s="132"/>
      <c r="DC784" s="128"/>
      <c r="DD784" s="129"/>
      <c r="DF784" s="132"/>
      <c r="DG784" s="85"/>
      <c r="DH784" s="85"/>
      <c r="DI784" s="84"/>
      <c r="DK784" s="84"/>
      <c r="DP784" s="84"/>
      <c r="DU784" s="84"/>
      <c r="DY784" s="84"/>
      <c r="EC784" s="84"/>
      <c r="EG784" s="84"/>
      <c r="EK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128"/>
      <c r="AA785" s="129"/>
      <c r="AC785" s="130"/>
      <c r="AD785" s="128"/>
      <c r="AE785" s="129"/>
      <c r="AG785" s="130"/>
      <c r="AH785" s="128"/>
      <c r="AI785" s="129"/>
      <c r="AK785" s="130"/>
      <c r="AL785" s="128"/>
      <c r="AM785" s="129"/>
      <c r="AO785" s="130"/>
      <c r="AP785" s="128"/>
      <c r="AQ785" s="129"/>
      <c r="AS785" s="130"/>
      <c r="AT785" s="128"/>
      <c r="AU785" s="129"/>
      <c r="AW785" s="130"/>
      <c r="AX785" s="85"/>
      <c r="AY785" s="84"/>
      <c r="AZ785" s="84"/>
      <c r="BA785" s="131"/>
      <c r="BB785" s="84"/>
      <c r="BE785" s="84"/>
      <c r="BI785" s="86"/>
      <c r="BO785" s="84"/>
      <c r="BT785" s="84"/>
      <c r="BY785" s="84"/>
      <c r="CD785" s="84"/>
      <c r="CI785" s="128"/>
      <c r="CJ785" s="129"/>
      <c r="CL785" s="132"/>
      <c r="CM785" s="128"/>
      <c r="CN785" s="129"/>
      <c r="CP785" s="132"/>
      <c r="CQ785" s="128"/>
      <c r="CR785" s="129"/>
      <c r="CT785" s="132"/>
      <c r="CU785" s="128"/>
      <c r="CV785" s="129"/>
      <c r="CX785" s="132"/>
      <c r="CY785" s="128"/>
      <c r="CZ785" s="129"/>
      <c r="DB785" s="132"/>
      <c r="DC785" s="128"/>
      <c r="DD785" s="129"/>
      <c r="DF785" s="132"/>
      <c r="DG785" s="85"/>
      <c r="DH785" s="85"/>
      <c r="DI785" s="84"/>
      <c r="DK785" s="84"/>
      <c r="DP785" s="84"/>
      <c r="DU785" s="84"/>
      <c r="DY785" s="84"/>
      <c r="EC785" s="84"/>
      <c r="EG785" s="84"/>
      <c r="EK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128"/>
      <c r="AA786" s="129"/>
      <c r="AC786" s="130"/>
      <c r="AD786" s="128"/>
      <c r="AE786" s="129"/>
      <c r="AG786" s="130"/>
      <c r="AH786" s="128"/>
      <c r="AI786" s="129"/>
      <c r="AK786" s="130"/>
      <c r="AL786" s="128"/>
      <c r="AM786" s="129"/>
      <c r="AO786" s="130"/>
      <c r="AP786" s="128"/>
      <c r="AQ786" s="129"/>
      <c r="AS786" s="130"/>
      <c r="AT786" s="128"/>
      <c r="AU786" s="129"/>
      <c r="AW786" s="130"/>
      <c r="AX786" s="85"/>
      <c r="AY786" s="84"/>
      <c r="AZ786" s="84"/>
      <c r="BA786" s="131"/>
      <c r="BB786" s="84"/>
      <c r="BE786" s="84"/>
      <c r="BI786" s="86"/>
      <c r="BO786" s="84"/>
      <c r="BT786" s="84"/>
      <c r="BY786" s="84"/>
      <c r="CD786" s="84"/>
      <c r="CI786" s="128"/>
      <c r="CJ786" s="129"/>
      <c r="CL786" s="132"/>
      <c r="CM786" s="128"/>
      <c r="CN786" s="129"/>
      <c r="CP786" s="132"/>
      <c r="CQ786" s="128"/>
      <c r="CR786" s="129"/>
      <c r="CT786" s="132"/>
      <c r="CU786" s="128"/>
      <c r="CV786" s="129"/>
      <c r="CX786" s="132"/>
      <c r="CY786" s="128"/>
      <c r="CZ786" s="129"/>
      <c r="DB786" s="132"/>
      <c r="DC786" s="128"/>
      <c r="DD786" s="129"/>
      <c r="DF786" s="132"/>
      <c r="DG786" s="85"/>
      <c r="DH786" s="85"/>
      <c r="DI786" s="84"/>
      <c r="DK786" s="84"/>
      <c r="DP786" s="84"/>
      <c r="DU786" s="84"/>
      <c r="DY786" s="84"/>
      <c r="EC786" s="84"/>
      <c r="EG786" s="84"/>
      <c r="EK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128"/>
      <c r="AA787" s="129"/>
      <c r="AC787" s="130"/>
      <c r="AD787" s="128"/>
      <c r="AE787" s="129"/>
      <c r="AG787" s="130"/>
      <c r="AH787" s="128"/>
      <c r="AI787" s="129"/>
      <c r="AK787" s="130"/>
      <c r="AL787" s="128"/>
      <c r="AM787" s="129"/>
      <c r="AO787" s="130"/>
      <c r="AP787" s="128"/>
      <c r="AQ787" s="129"/>
      <c r="AS787" s="130"/>
      <c r="AT787" s="128"/>
      <c r="AU787" s="129"/>
      <c r="AW787" s="130"/>
      <c r="AX787" s="85"/>
      <c r="AY787" s="84"/>
      <c r="AZ787" s="84"/>
      <c r="BA787" s="131"/>
      <c r="BB787" s="84"/>
      <c r="BE787" s="84"/>
      <c r="BI787" s="86"/>
      <c r="BO787" s="84"/>
      <c r="BT787" s="84"/>
      <c r="BY787" s="84"/>
      <c r="CD787" s="84"/>
      <c r="CI787" s="128"/>
      <c r="CJ787" s="129"/>
      <c r="CL787" s="132"/>
      <c r="CM787" s="128"/>
      <c r="CN787" s="129"/>
      <c r="CP787" s="132"/>
      <c r="CQ787" s="128"/>
      <c r="CR787" s="129"/>
      <c r="CT787" s="132"/>
      <c r="CU787" s="128"/>
      <c r="CV787" s="129"/>
      <c r="CX787" s="132"/>
      <c r="CY787" s="128"/>
      <c r="CZ787" s="129"/>
      <c r="DB787" s="132"/>
      <c r="DC787" s="128"/>
      <c r="DD787" s="129"/>
      <c r="DF787" s="132"/>
      <c r="DG787" s="85"/>
      <c r="DH787" s="85"/>
      <c r="DI787" s="84"/>
      <c r="DK787" s="84"/>
      <c r="DP787" s="84"/>
      <c r="DU787" s="84"/>
      <c r="DY787" s="84"/>
      <c r="EC787" s="84"/>
      <c r="EG787" s="84"/>
      <c r="EK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128"/>
      <c r="AA788" s="129"/>
      <c r="AC788" s="130"/>
      <c r="AD788" s="128"/>
      <c r="AE788" s="129"/>
      <c r="AG788" s="130"/>
      <c r="AH788" s="128"/>
      <c r="AI788" s="129"/>
      <c r="AK788" s="130"/>
      <c r="AL788" s="128"/>
      <c r="AM788" s="129"/>
      <c r="AO788" s="130"/>
      <c r="AP788" s="128"/>
      <c r="AQ788" s="129"/>
      <c r="AS788" s="130"/>
      <c r="AT788" s="128"/>
      <c r="AU788" s="129"/>
      <c r="AW788" s="130"/>
      <c r="AX788" s="85"/>
      <c r="AY788" s="84"/>
      <c r="AZ788" s="84"/>
      <c r="BA788" s="131"/>
      <c r="BB788" s="84"/>
      <c r="BE788" s="84"/>
      <c r="BI788" s="86"/>
      <c r="BO788" s="84"/>
      <c r="BT788" s="84"/>
      <c r="BY788" s="84"/>
      <c r="CD788" s="84"/>
      <c r="CI788" s="128"/>
      <c r="CJ788" s="129"/>
      <c r="CL788" s="132"/>
      <c r="CM788" s="128"/>
      <c r="CN788" s="129"/>
      <c r="CP788" s="132"/>
      <c r="CQ788" s="128"/>
      <c r="CR788" s="129"/>
      <c r="CT788" s="132"/>
      <c r="CU788" s="128"/>
      <c r="CV788" s="129"/>
      <c r="CX788" s="132"/>
      <c r="CY788" s="128"/>
      <c r="CZ788" s="129"/>
      <c r="DB788" s="132"/>
      <c r="DC788" s="128"/>
      <c r="DD788" s="129"/>
      <c r="DF788" s="132"/>
      <c r="DG788" s="85"/>
      <c r="DH788" s="85"/>
      <c r="DI788" s="84"/>
      <c r="DK788" s="84"/>
      <c r="DP788" s="84"/>
      <c r="DU788" s="84"/>
      <c r="DY788" s="84"/>
      <c r="EC788" s="84"/>
      <c r="EG788" s="84"/>
      <c r="EK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128"/>
      <c r="AA789" s="129"/>
      <c r="AC789" s="130"/>
      <c r="AD789" s="128"/>
      <c r="AE789" s="129"/>
      <c r="AG789" s="130"/>
      <c r="AH789" s="128"/>
      <c r="AI789" s="129"/>
      <c r="AK789" s="130"/>
      <c r="AL789" s="128"/>
      <c r="AM789" s="129"/>
      <c r="AO789" s="130"/>
      <c r="AP789" s="128"/>
      <c r="AQ789" s="129"/>
      <c r="AS789" s="130"/>
      <c r="AT789" s="128"/>
      <c r="AU789" s="129"/>
      <c r="AW789" s="130"/>
      <c r="AX789" s="85"/>
      <c r="AY789" s="84"/>
      <c r="AZ789" s="84"/>
      <c r="BA789" s="131"/>
      <c r="BB789" s="84"/>
      <c r="BE789" s="84"/>
      <c r="BI789" s="86"/>
      <c r="BO789" s="84"/>
      <c r="BT789" s="84"/>
      <c r="BY789" s="84"/>
      <c r="CD789" s="84"/>
      <c r="CI789" s="128"/>
      <c r="CJ789" s="129"/>
      <c r="CL789" s="132"/>
      <c r="CM789" s="128"/>
      <c r="CN789" s="129"/>
      <c r="CP789" s="132"/>
      <c r="CQ789" s="128"/>
      <c r="CR789" s="129"/>
      <c r="CT789" s="132"/>
      <c r="CU789" s="128"/>
      <c r="CV789" s="129"/>
      <c r="CX789" s="132"/>
      <c r="CY789" s="128"/>
      <c r="CZ789" s="129"/>
      <c r="DB789" s="132"/>
      <c r="DC789" s="128"/>
      <c r="DD789" s="129"/>
      <c r="DF789" s="132"/>
      <c r="DG789" s="85"/>
      <c r="DH789" s="85"/>
      <c r="DI789" s="84"/>
      <c r="DK789" s="84"/>
      <c r="DP789" s="84"/>
      <c r="DU789" s="84"/>
      <c r="DY789" s="84"/>
      <c r="EC789" s="84"/>
      <c r="EG789" s="84"/>
      <c r="EK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128"/>
      <c r="AA790" s="129"/>
      <c r="AC790" s="130"/>
      <c r="AD790" s="128"/>
      <c r="AE790" s="129"/>
      <c r="AG790" s="130"/>
      <c r="AH790" s="128"/>
      <c r="AI790" s="129"/>
      <c r="AK790" s="130"/>
      <c r="AL790" s="128"/>
      <c r="AM790" s="129"/>
      <c r="AO790" s="130"/>
      <c r="AP790" s="128"/>
      <c r="AQ790" s="129"/>
      <c r="AS790" s="130"/>
      <c r="AT790" s="128"/>
      <c r="AU790" s="129"/>
      <c r="AW790" s="130"/>
      <c r="AX790" s="85"/>
      <c r="AY790" s="84"/>
      <c r="AZ790" s="84"/>
      <c r="BA790" s="131"/>
      <c r="BB790" s="84"/>
      <c r="BE790" s="84"/>
      <c r="BI790" s="86"/>
      <c r="BO790" s="84"/>
      <c r="BT790" s="84"/>
      <c r="BY790" s="84"/>
      <c r="CD790" s="84"/>
      <c r="CI790" s="128"/>
      <c r="CJ790" s="129"/>
      <c r="CL790" s="132"/>
      <c r="CM790" s="128"/>
      <c r="CN790" s="129"/>
      <c r="CP790" s="132"/>
      <c r="CQ790" s="128"/>
      <c r="CR790" s="129"/>
      <c r="CT790" s="132"/>
      <c r="CU790" s="128"/>
      <c r="CV790" s="129"/>
      <c r="CX790" s="132"/>
      <c r="CY790" s="128"/>
      <c r="CZ790" s="129"/>
      <c r="DB790" s="132"/>
      <c r="DC790" s="128"/>
      <c r="DD790" s="129"/>
      <c r="DF790" s="132"/>
      <c r="DG790" s="85"/>
      <c r="DH790" s="85"/>
      <c r="DI790" s="84"/>
      <c r="DK790" s="84"/>
      <c r="DP790" s="84"/>
      <c r="DU790" s="84"/>
      <c r="DY790" s="84"/>
      <c r="EC790" s="84"/>
      <c r="EG790" s="84"/>
      <c r="EK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128"/>
      <c r="AA791" s="129"/>
      <c r="AC791" s="130"/>
      <c r="AD791" s="128"/>
      <c r="AE791" s="129"/>
      <c r="AG791" s="130"/>
      <c r="AH791" s="128"/>
      <c r="AI791" s="129"/>
      <c r="AK791" s="130"/>
      <c r="AL791" s="128"/>
      <c r="AM791" s="129"/>
      <c r="AO791" s="130"/>
      <c r="AP791" s="128"/>
      <c r="AQ791" s="129"/>
      <c r="AS791" s="130"/>
      <c r="AT791" s="128"/>
      <c r="AU791" s="129"/>
      <c r="AW791" s="130"/>
      <c r="AX791" s="85"/>
      <c r="AY791" s="84"/>
      <c r="AZ791" s="84"/>
      <c r="BA791" s="131"/>
      <c r="BB791" s="84"/>
      <c r="BE791" s="84"/>
      <c r="BI791" s="86"/>
      <c r="BO791" s="84"/>
      <c r="BT791" s="84"/>
      <c r="BY791" s="84"/>
      <c r="CD791" s="84"/>
      <c r="CI791" s="128"/>
      <c r="CJ791" s="129"/>
      <c r="CL791" s="132"/>
      <c r="CM791" s="128"/>
      <c r="CN791" s="129"/>
      <c r="CP791" s="132"/>
      <c r="CQ791" s="128"/>
      <c r="CR791" s="129"/>
      <c r="CT791" s="132"/>
      <c r="CU791" s="128"/>
      <c r="CV791" s="129"/>
      <c r="CX791" s="132"/>
      <c r="CY791" s="128"/>
      <c r="CZ791" s="129"/>
      <c r="DB791" s="132"/>
      <c r="DC791" s="128"/>
      <c r="DD791" s="129"/>
      <c r="DF791" s="132"/>
      <c r="DG791" s="85"/>
      <c r="DH791" s="85"/>
      <c r="DI791" s="84"/>
      <c r="DK791" s="84"/>
      <c r="DP791" s="84"/>
      <c r="DU791" s="84"/>
      <c r="DY791" s="84"/>
      <c r="EC791" s="84"/>
      <c r="EG791" s="84"/>
      <c r="EK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128"/>
      <c r="AA792" s="129"/>
      <c r="AC792" s="130"/>
      <c r="AD792" s="128"/>
      <c r="AE792" s="129"/>
      <c r="AG792" s="130"/>
      <c r="AH792" s="128"/>
      <c r="AI792" s="129"/>
      <c r="AK792" s="130"/>
      <c r="AL792" s="128"/>
      <c r="AM792" s="129"/>
      <c r="AO792" s="130"/>
      <c r="AP792" s="128"/>
      <c r="AQ792" s="129"/>
      <c r="AS792" s="130"/>
      <c r="AT792" s="128"/>
      <c r="AU792" s="129"/>
      <c r="AW792" s="130"/>
      <c r="AX792" s="85"/>
      <c r="AY792" s="84"/>
      <c r="AZ792" s="84"/>
      <c r="BA792" s="131"/>
      <c r="BB792" s="84"/>
      <c r="BE792" s="84"/>
      <c r="BI792" s="86"/>
      <c r="BO792" s="84"/>
      <c r="BT792" s="84"/>
      <c r="BY792" s="84"/>
      <c r="CD792" s="84"/>
      <c r="CI792" s="128"/>
      <c r="CJ792" s="129"/>
      <c r="CL792" s="132"/>
      <c r="CM792" s="128"/>
      <c r="CN792" s="129"/>
      <c r="CP792" s="132"/>
      <c r="CQ792" s="128"/>
      <c r="CR792" s="129"/>
      <c r="CT792" s="132"/>
      <c r="CU792" s="128"/>
      <c r="CV792" s="129"/>
      <c r="CX792" s="132"/>
      <c r="CY792" s="128"/>
      <c r="CZ792" s="129"/>
      <c r="DB792" s="132"/>
      <c r="DC792" s="128"/>
      <c r="DD792" s="129"/>
      <c r="DF792" s="132"/>
      <c r="DG792" s="85"/>
      <c r="DH792" s="85"/>
      <c r="DI792" s="84"/>
      <c r="DK792" s="84"/>
      <c r="DP792" s="84"/>
      <c r="DU792" s="84"/>
      <c r="DY792" s="84"/>
      <c r="EC792" s="84"/>
      <c r="EG792" s="84"/>
      <c r="EK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128"/>
      <c r="AA793" s="129"/>
      <c r="AC793" s="130"/>
      <c r="AD793" s="128"/>
      <c r="AE793" s="129"/>
      <c r="AG793" s="130"/>
      <c r="AH793" s="128"/>
      <c r="AI793" s="129"/>
      <c r="AK793" s="130"/>
      <c r="AL793" s="128"/>
      <c r="AM793" s="129"/>
      <c r="AO793" s="130"/>
      <c r="AP793" s="128"/>
      <c r="AQ793" s="129"/>
      <c r="AS793" s="130"/>
      <c r="AT793" s="128"/>
      <c r="AU793" s="129"/>
      <c r="AW793" s="130"/>
      <c r="AX793" s="85"/>
      <c r="AY793" s="84"/>
      <c r="AZ793" s="84"/>
      <c r="BA793" s="131"/>
      <c r="BB793" s="84"/>
      <c r="BE793" s="84"/>
      <c r="BI793" s="86"/>
      <c r="BO793" s="84"/>
      <c r="BT793" s="84"/>
      <c r="BY793" s="84"/>
      <c r="CD793" s="84"/>
      <c r="CI793" s="128"/>
      <c r="CJ793" s="129"/>
      <c r="CL793" s="132"/>
      <c r="CM793" s="128"/>
      <c r="CN793" s="129"/>
      <c r="CP793" s="132"/>
      <c r="CQ793" s="128"/>
      <c r="CR793" s="129"/>
      <c r="CT793" s="132"/>
      <c r="CU793" s="128"/>
      <c r="CV793" s="129"/>
      <c r="CX793" s="132"/>
      <c r="CY793" s="128"/>
      <c r="CZ793" s="129"/>
      <c r="DB793" s="132"/>
      <c r="DC793" s="128"/>
      <c r="DD793" s="129"/>
      <c r="DF793" s="132"/>
      <c r="DG793" s="85"/>
      <c r="DH793" s="85"/>
      <c r="DI793" s="84"/>
      <c r="DK793" s="84"/>
      <c r="DP793" s="84"/>
      <c r="DU793" s="84"/>
      <c r="DY793" s="84"/>
      <c r="EC793" s="84"/>
      <c r="EG793" s="84"/>
      <c r="EK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128"/>
      <c r="AA794" s="129"/>
      <c r="AC794" s="130"/>
      <c r="AD794" s="128"/>
      <c r="AE794" s="129"/>
      <c r="AG794" s="130"/>
      <c r="AH794" s="128"/>
      <c r="AI794" s="129"/>
      <c r="AK794" s="130"/>
      <c r="AL794" s="128"/>
      <c r="AM794" s="129"/>
      <c r="AO794" s="130"/>
      <c r="AP794" s="128"/>
      <c r="AQ794" s="129"/>
      <c r="AS794" s="130"/>
      <c r="AT794" s="128"/>
      <c r="AU794" s="129"/>
      <c r="AW794" s="130"/>
      <c r="AX794" s="85"/>
      <c r="AY794" s="84"/>
      <c r="AZ794" s="84"/>
      <c r="BA794" s="131"/>
      <c r="BB794" s="84"/>
      <c r="BE794" s="84"/>
      <c r="BI794" s="86"/>
      <c r="BO794" s="84"/>
      <c r="BT794" s="84"/>
      <c r="BY794" s="84"/>
      <c r="CD794" s="84"/>
      <c r="CI794" s="128"/>
      <c r="CJ794" s="129"/>
      <c r="CL794" s="132"/>
      <c r="CM794" s="128"/>
      <c r="CN794" s="129"/>
      <c r="CP794" s="132"/>
      <c r="CQ794" s="128"/>
      <c r="CR794" s="129"/>
      <c r="CT794" s="132"/>
      <c r="CU794" s="128"/>
      <c r="CV794" s="129"/>
      <c r="CX794" s="132"/>
      <c r="CY794" s="128"/>
      <c r="CZ794" s="129"/>
      <c r="DB794" s="132"/>
      <c r="DC794" s="128"/>
      <c r="DD794" s="129"/>
      <c r="DF794" s="132"/>
      <c r="DG794" s="85"/>
      <c r="DH794" s="85"/>
      <c r="DI794" s="84"/>
      <c r="DK794" s="84"/>
      <c r="DP794" s="84"/>
      <c r="DU794" s="84"/>
      <c r="DY794" s="84"/>
      <c r="EC794" s="84"/>
      <c r="EG794" s="84"/>
      <c r="EK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128"/>
      <c r="AA795" s="129"/>
      <c r="AC795" s="130"/>
      <c r="AD795" s="128"/>
      <c r="AE795" s="129"/>
      <c r="AG795" s="130"/>
      <c r="AH795" s="128"/>
      <c r="AI795" s="129"/>
      <c r="AK795" s="130"/>
      <c r="AL795" s="128"/>
      <c r="AM795" s="129"/>
      <c r="AO795" s="130"/>
      <c r="AP795" s="128"/>
      <c r="AQ795" s="129"/>
      <c r="AS795" s="130"/>
      <c r="AT795" s="128"/>
      <c r="AU795" s="129"/>
      <c r="AW795" s="130"/>
      <c r="AX795" s="85"/>
      <c r="AY795" s="84"/>
      <c r="AZ795" s="84"/>
      <c r="BA795" s="131"/>
      <c r="BB795" s="84"/>
      <c r="BE795" s="84"/>
      <c r="BI795" s="86"/>
      <c r="BO795" s="84"/>
      <c r="BT795" s="84"/>
      <c r="BY795" s="84"/>
      <c r="CD795" s="84"/>
      <c r="CI795" s="128"/>
      <c r="CJ795" s="129"/>
      <c r="CL795" s="132"/>
      <c r="CM795" s="128"/>
      <c r="CN795" s="129"/>
      <c r="CP795" s="132"/>
      <c r="CQ795" s="128"/>
      <c r="CR795" s="129"/>
      <c r="CT795" s="132"/>
      <c r="CU795" s="128"/>
      <c r="CV795" s="129"/>
      <c r="CX795" s="132"/>
      <c r="CY795" s="128"/>
      <c r="CZ795" s="129"/>
      <c r="DB795" s="132"/>
      <c r="DC795" s="128"/>
      <c r="DD795" s="129"/>
      <c r="DF795" s="132"/>
      <c r="DG795" s="85"/>
      <c r="DH795" s="85"/>
      <c r="DI795" s="84"/>
      <c r="DK795" s="84"/>
      <c r="DP795" s="84"/>
      <c r="DU795" s="84"/>
      <c r="DY795" s="84"/>
      <c r="EC795" s="84"/>
      <c r="EG795" s="84"/>
      <c r="EK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128"/>
      <c r="AA796" s="129"/>
      <c r="AC796" s="130"/>
      <c r="AD796" s="128"/>
      <c r="AE796" s="129"/>
      <c r="AG796" s="130"/>
      <c r="AH796" s="128"/>
      <c r="AI796" s="129"/>
      <c r="AK796" s="130"/>
      <c r="AL796" s="128"/>
      <c r="AM796" s="129"/>
      <c r="AO796" s="130"/>
      <c r="AP796" s="128"/>
      <c r="AQ796" s="129"/>
      <c r="AS796" s="130"/>
      <c r="AT796" s="128"/>
      <c r="AU796" s="129"/>
      <c r="AW796" s="130"/>
      <c r="AX796" s="85"/>
      <c r="AY796" s="84"/>
      <c r="AZ796" s="84"/>
      <c r="BA796" s="131"/>
      <c r="BB796" s="84"/>
      <c r="BE796" s="84"/>
      <c r="BI796" s="86"/>
      <c r="BO796" s="84"/>
      <c r="BT796" s="84"/>
      <c r="BY796" s="84"/>
      <c r="CD796" s="84"/>
      <c r="CI796" s="128"/>
      <c r="CJ796" s="129"/>
      <c r="CL796" s="132"/>
      <c r="CM796" s="128"/>
      <c r="CN796" s="129"/>
      <c r="CP796" s="132"/>
      <c r="CQ796" s="128"/>
      <c r="CR796" s="129"/>
      <c r="CT796" s="132"/>
      <c r="CU796" s="128"/>
      <c r="CV796" s="129"/>
      <c r="CX796" s="132"/>
      <c r="CY796" s="128"/>
      <c r="CZ796" s="129"/>
      <c r="DB796" s="132"/>
      <c r="DC796" s="128"/>
      <c r="DD796" s="129"/>
      <c r="DF796" s="132"/>
      <c r="DG796" s="85"/>
      <c r="DH796" s="85"/>
      <c r="DI796" s="84"/>
      <c r="DK796" s="84"/>
      <c r="DP796" s="84"/>
      <c r="DU796" s="84"/>
      <c r="DY796" s="84"/>
      <c r="EC796" s="84"/>
      <c r="EG796" s="84"/>
      <c r="EK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128"/>
      <c r="AA797" s="129"/>
      <c r="AC797" s="130"/>
      <c r="AD797" s="128"/>
      <c r="AE797" s="129"/>
      <c r="AG797" s="130"/>
      <c r="AH797" s="128"/>
      <c r="AI797" s="129"/>
      <c r="AK797" s="130"/>
      <c r="AL797" s="128"/>
      <c r="AM797" s="129"/>
      <c r="AO797" s="130"/>
      <c r="AP797" s="128"/>
      <c r="AQ797" s="129"/>
      <c r="AS797" s="130"/>
      <c r="AT797" s="128"/>
      <c r="AU797" s="129"/>
      <c r="AW797" s="130"/>
      <c r="AX797" s="85"/>
      <c r="AY797" s="84"/>
      <c r="AZ797" s="84"/>
      <c r="BA797" s="131"/>
      <c r="BB797" s="84"/>
      <c r="BE797" s="84"/>
      <c r="BI797" s="86"/>
      <c r="BO797" s="84"/>
      <c r="BT797" s="84"/>
      <c r="BY797" s="84"/>
      <c r="CD797" s="84"/>
      <c r="CI797" s="128"/>
      <c r="CJ797" s="129"/>
      <c r="CL797" s="132"/>
      <c r="CM797" s="128"/>
      <c r="CN797" s="129"/>
      <c r="CP797" s="132"/>
      <c r="CQ797" s="128"/>
      <c r="CR797" s="129"/>
      <c r="CT797" s="132"/>
      <c r="CU797" s="128"/>
      <c r="CV797" s="129"/>
      <c r="CX797" s="132"/>
      <c r="CY797" s="128"/>
      <c r="CZ797" s="129"/>
      <c r="DB797" s="132"/>
      <c r="DC797" s="128"/>
      <c r="DD797" s="129"/>
      <c r="DF797" s="132"/>
      <c r="DG797" s="85"/>
      <c r="DH797" s="85"/>
      <c r="DI797" s="84"/>
      <c r="DK797" s="84"/>
      <c r="DP797" s="84"/>
      <c r="DU797" s="84"/>
      <c r="DY797" s="84"/>
      <c r="EC797" s="84"/>
      <c r="EG797" s="84"/>
      <c r="EK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128"/>
      <c r="AA798" s="129"/>
      <c r="AC798" s="130"/>
      <c r="AD798" s="128"/>
      <c r="AE798" s="129"/>
      <c r="AG798" s="130"/>
      <c r="AH798" s="128"/>
      <c r="AI798" s="129"/>
      <c r="AK798" s="130"/>
      <c r="AL798" s="128"/>
      <c r="AM798" s="129"/>
      <c r="AO798" s="130"/>
      <c r="AP798" s="128"/>
      <c r="AQ798" s="129"/>
      <c r="AS798" s="130"/>
      <c r="AT798" s="128"/>
      <c r="AU798" s="129"/>
      <c r="AW798" s="130"/>
      <c r="AX798" s="85"/>
      <c r="AY798" s="84"/>
      <c r="AZ798" s="84"/>
      <c r="BA798" s="131"/>
      <c r="BB798" s="84"/>
      <c r="BE798" s="84"/>
      <c r="BI798" s="86"/>
      <c r="BO798" s="84"/>
      <c r="BT798" s="84"/>
      <c r="BY798" s="84"/>
      <c r="CD798" s="84"/>
      <c r="CI798" s="128"/>
      <c r="CJ798" s="129"/>
      <c r="CL798" s="132"/>
      <c r="CM798" s="128"/>
      <c r="CN798" s="129"/>
      <c r="CP798" s="132"/>
      <c r="CQ798" s="128"/>
      <c r="CR798" s="129"/>
      <c r="CT798" s="132"/>
      <c r="CU798" s="128"/>
      <c r="CV798" s="129"/>
      <c r="CX798" s="132"/>
      <c r="CY798" s="128"/>
      <c r="CZ798" s="129"/>
      <c r="DB798" s="132"/>
      <c r="DC798" s="128"/>
      <c r="DD798" s="129"/>
      <c r="DF798" s="132"/>
      <c r="DG798" s="85"/>
      <c r="DH798" s="85"/>
      <c r="DI798" s="84"/>
      <c r="DK798" s="84"/>
      <c r="DP798" s="84"/>
      <c r="DU798" s="84"/>
      <c r="DY798" s="84"/>
      <c r="EC798" s="84"/>
      <c r="EG798" s="84"/>
      <c r="EK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128"/>
      <c r="AA799" s="129"/>
      <c r="AC799" s="130"/>
      <c r="AD799" s="128"/>
      <c r="AE799" s="129"/>
      <c r="AG799" s="130"/>
      <c r="AH799" s="128"/>
      <c r="AI799" s="129"/>
      <c r="AK799" s="130"/>
      <c r="AL799" s="128"/>
      <c r="AM799" s="129"/>
      <c r="AO799" s="130"/>
      <c r="AP799" s="128"/>
      <c r="AQ799" s="129"/>
      <c r="AS799" s="130"/>
      <c r="AT799" s="128"/>
      <c r="AU799" s="129"/>
      <c r="AW799" s="130"/>
      <c r="AX799" s="85"/>
      <c r="AY799" s="84"/>
      <c r="AZ799" s="84"/>
      <c r="BA799" s="131"/>
      <c r="BB799" s="84"/>
      <c r="BE799" s="84"/>
      <c r="BI799" s="86"/>
      <c r="BO799" s="84"/>
      <c r="BT799" s="84"/>
      <c r="BY799" s="84"/>
      <c r="CD799" s="84"/>
      <c r="CI799" s="128"/>
      <c r="CJ799" s="129"/>
      <c r="CL799" s="132"/>
      <c r="CM799" s="128"/>
      <c r="CN799" s="129"/>
      <c r="CP799" s="132"/>
      <c r="CQ799" s="128"/>
      <c r="CR799" s="129"/>
      <c r="CT799" s="132"/>
      <c r="CU799" s="128"/>
      <c r="CV799" s="129"/>
      <c r="CX799" s="132"/>
      <c r="CY799" s="128"/>
      <c r="CZ799" s="129"/>
      <c r="DB799" s="132"/>
      <c r="DC799" s="128"/>
      <c r="DD799" s="129"/>
      <c r="DF799" s="132"/>
      <c r="DG799" s="85"/>
      <c r="DH799" s="85"/>
      <c r="DI799" s="84"/>
      <c r="DK799" s="84"/>
      <c r="DP799" s="84"/>
      <c r="DU799" s="84"/>
      <c r="DY799" s="84"/>
      <c r="EC799" s="84"/>
      <c r="EG799" s="84"/>
      <c r="EK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128"/>
      <c r="AA800" s="129"/>
      <c r="AC800" s="130"/>
      <c r="AD800" s="128"/>
      <c r="AE800" s="129"/>
      <c r="AG800" s="130"/>
      <c r="AH800" s="128"/>
      <c r="AI800" s="129"/>
      <c r="AK800" s="130"/>
      <c r="AL800" s="128"/>
      <c r="AM800" s="129"/>
      <c r="AO800" s="130"/>
      <c r="AP800" s="128"/>
      <c r="AQ800" s="129"/>
      <c r="AS800" s="130"/>
      <c r="AT800" s="128"/>
      <c r="AU800" s="129"/>
      <c r="AW800" s="130"/>
      <c r="AX800" s="85"/>
      <c r="AY800" s="84"/>
      <c r="AZ800" s="84"/>
      <c r="BA800" s="131"/>
      <c r="BB800" s="84"/>
      <c r="BE800" s="84"/>
      <c r="BI800" s="86"/>
      <c r="BO800" s="84"/>
      <c r="BT800" s="84"/>
      <c r="BY800" s="84"/>
      <c r="CD800" s="84"/>
      <c r="CI800" s="128"/>
      <c r="CJ800" s="129"/>
      <c r="CL800" s="132"/>
      <c r="CM800" s="128"/>
      <c r="CN800" s="129"/>
      <c r="CP800" s="132"/>
      <c r="CQ800" s="128"/>
      <c r="CR800" s="129"/>
      <c r="CT800" s="132"/>
      <c r="CU800" s="128"/>
      <c r="CV800" s="129"/>
      <c r="CX800" s="132"/>
      <c r="CY800" s="128"/>
      <c r="CZ800" s="129"/>
      <c r="DB800" s="132"/>
      <c r="DC800" s="128"/>
      <c r="DD800" s="129"/>
      <c r="DF800" s="132"/>
      <c r="DG800" s="85"/>
      <c r="DH800" s="85"/>
      <c r="DI800" s="84"/>
      <c r="DK800" s="84"/>
      <c r="DP800" s="84"/>
      <c r="DU800" s="84"/>
      <c r="DY800" s="84"/>
      <c r="EC800" s="84"/>
      <c r="EG800" s="84"/>
      <c r="EK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128"/>
      <c r="AA801" s="129"/>
      <c r="AC801" s="130"/>
      <c r="AD801" s="128"/>
      <c r="AE801" s="129"/>
      <c r="AG801" s="130"/>
      <c r="AH801" s="128"/>
      <c r="AI801" s="129"/>
      <c r="AK801" s="130"/>
      <c r="AL801" s="128"/>
      <c r="AM801" s="129"/>
      <c r="AO801" s="130"/>
      <c r="AP801" s="128"/>
      <c r="AQ801" s="129"/>
      <c r="AS801" s="130"/>
      <c r="AT801" s="128"/>
      <c r="AU801" s="129"/>
      <c r="AW801" s="130"/>
      <c r="AX801" s="85"/>
      <c r="AY801" s="84"/>
      <c r="AZ801" s="84"/>
      <c r="BA801" s="131"/>
      <c r="BB801" s="84"/>
      <c r="BE801" s="84"/>
      <c r="BI801" s="86"/>
      <c r="BO801" s="84"/>
      <c r="BT801" s="84"/>
      <c r="BY801" s="84"/>
      <c r="CD801" s="84"/>
      <c r="CI801" s="128"/>
      <c r="CJ801" s="129"/>
      <c r="CL801" s="132"/>
      <c r="CM801" s="128"/>
      <c r="CN801" s="129"/>
      <c r="CP801" s="132"/>
      <c r="CQ801" s="128"/>
      <c r="CR801" s="129"/>
      <c r="CT801" s="132"/>
      <c r="CU801" s="128"/>
      <c r="CV801" s="129"/>
      <c r="CX801" s="132"/>
      <c r="CY801" s="128"/>
      <c r="CZ801" s="129"/>
      <c r="DB801" s="132"/>
      <c r="DC801" s="128"/>
      <c r="DD801" s="129"/>
      <c r="DF801" s="132"/>
      <c r="DG801" s="85"/>
      <c r="DH801" s="85"/>
      <c r="DI801" s="84"/>
      <c r="DK801" s="84"/>
      <c r="DP801" s="84"/>
      <c r="DU801" s="84"/>
      <c r="DY801" s="84"/>
      <c r="EC801" s="84"/>
      <c r="EG801" s="84"/>
      <c r="EK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128"/>
      <c r="AA802" s="129"/>
      <c r="AC802" s="130"/>
      <c r="AD802" s="128"/>
      <c r="AE802" s="129"/>
      <c r="AG802" s="130"/>
      <c r="AH802" s="128"/>
      <c r="AI802" s="129"/>
      <c r="AK802" s="130"/>
      <c r="AL802" s="128"/>
      <c r="AM802" s="129"/>
      <c r="AO802" s="130"/>
      <c r="AP802" s="128"/>
      <c r="AQ802" s="129"/>
      <c r="AS802" s="130"/>
      <c r="AT802" s="128"/>
      <c r="AU802" s="129"/>
      <c r="AW802" s="130"/>
      <c r="AX802" s="85"/>
      <c r="AY802" s="84"/>
      <c r="AZ802" s="84"/>
      <c r="BA802" s="131"/>
      <c r="BB802" s="84"/>
      <c r="BE802" s="84"/>
      <c r="BI802" s="86"/>
      <c r="BO802" s="84"/>
      <c r="BT802" s="84"/>
      <c r="BY802" s="84"/>
      <c r="CD802" s="84"/>
      <c r="CI802" s="128"/>
      <c r="CJ802" s="129"/>
      <c r="CL802" s="132"/>
      <c r="CM802" s="128"/>
      <c r="CN802" s="129"/>
      <c r="CP802" s="132"/>
      <c r="CQ802" s="128"/>
      <c r="CR802" s="129"/>
      <c r="CT802" s="132"/>
      <c r="CU802" s="128"/>
      <c r="CV802" s="129"/>
      <c r="CX802" s="132"/>
      <c r="CY802" s="128"/>
      <c r="CZ802" s="129"/>
      <c r="DB802" s="132"/>
      <c r="DC802" s="128"/>
      <c r="DD802" s="129"/>
      <c r="DF802" s="132"/>
      <c r="DG802" s="85"/>
      <c r="DH802" s="85"/>
      <c r="DI802" s="84"/>
      <c r="DK802" s="84"/>
      <c r="DP802" s="84"/>
      <c r="DU802" s="84"/>
      <c r="DY802" s="84"/>
      <c r="EC802" s="84"/>
      <c r="EG802" s="84"/>
      <c r="EK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128"/>
      <c r="AA803" s="129"/>
      <c r="AC803" s="130"/>
      <c r="AD803" s="128"/>
      <c r="AE803" s="129"/>
      <c r="AG803" s="130"/>
      <c r="AH803" s="128"/>
      <c r="AI803" s="129"/>
      <c r="AK803" s="130"/>
      <c r="AL803" s="128"/>
      <c r="AM803" s="129"/>
      <c r="AO803" s="130"/>
      <c r="AP803" s="128"/>
      <c r="AQ803" s="129"/>
      <c r="AS803" s="130"/>
      <c r="AT803" s="128"/>
      <c r="AU803" s="129"/>
      <c r="AW803" s="130"/>
      <c r="AX803" s="85"/>
      <c r="AY803" s="84"/>
      <c r="AZ803" s="84"/>
      <c r="BA803" s="131"/>
      <c r="BB803" s="84"/>
      <c r="BE803" s="84"/>
      <c r="BI803" s="86"/>
      <c r="BO803" s="84"/>
      <c r="BT803" s="84"/>
      <c r="BY803" s="84"/>
      <c r="CD803" s="84"/>
      <c r="CI803" s="128"/>
      <c r="CJ803" s="129"/>
      <c r="CL803" s="132"/>
      <c r="CM803" s="128"/>
      <c r="CN803" s="129"/>
      <c r="CP803" s="132"/>
      <c r="CQ803" s="128"/>
      <c r="CR803" s="129"/>
      <c r="CT803" s="132"/>
      <c r="CU803" s="128"/>
      <c r="CV803" s="129"/>
      <c r="CX803" s="132"/>
      <c r="CY803" s="128"/>
      <c r="CZ803" s="129"/>
      <c r="DB803" s="132"/>
      <c r="DC803" s="128"/>
      <c r="DD803" s="129"/>
      <c r="DF803" s="132"/>
      <c r="DG803" s="85"/>
      <c r="DH803" s="85"/>
      <c r="DI803" s="84"/>
      <c r="DK803" s="84"/>
      <c r="DP803" s="84"/>
      <c r="DU803" s="84"/>
      <c r="DY803" s="84"/>
      <c r="EC803" s="84"/>
      <c r="EG803" s="84"/>
      <c r="EK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128"/>
      <c r="AA804" s="129"/>
      <c r="AC804" s="130"/>
      <c r="AD804" s="128"/>
      <c r="AE804" s="129"/>
      <c r="AG804" s="130"/>
      <c r="AH804" s="128"/>
      <c r="AI804" s="129"/>
      <c r="AK804" s="130"/>
      <c r="AL804" s="128"/>
      <c r="AM804" s="129"/>
      <c r="AO804" s="130"/>
      <c r="AP804" s="128"/>
      <c r="AQ804" s="129"/>
      <c r="AS804" s="130"/>
      <c r="AT804" s="128"/>
      <c r="AU804" s="129"/>
      <c r="AW804" s="130"/>
      <c r="AX804" s="85"/>
      <c r="AY804" s="84"/>
      <c r="AZ804" s="84"/>
      <c r="BA804" s="131"/>
      <c r="BB804" s="84"/>
      <c r="BE804" s="84"/>
      <c r="BI804" s="86"/>
      <c r="BO804" s="84"/>
      <c r="BT804" s="84"/>
      <c r="BY804" s="84"/>
      <c r="CD804" s="84"/>
      <c r="CI804" s="128"/>
      <c r="CJ804" s="129"/>
      <c r="CL804" s="132"/>
      <c r="CM804" s="128"/>
      <c r="CN804" s="129"/>
      <c r="CP804" s="132"/>
      <c r="CQ804" s="128"/>
      <c r="CR804" s="129"/>
      <c r="CT804" s="132"/>
      <c r="CU804" s="128"/>
      <c r="CV804" s="129"/>
      <c r="CX804" s="132"/>
      <c r="CY804" s="128"/>
      <c r="CZ804" s="129"/>
      <c r="DB804" s="132"/>
      <c r="DC804" s="128"/>
      <c r="DD804" s="129"/>
      <c r="DF804" s="132"/>
      <c r="DG804" s="85"/>
      <c r="DH804" s="85"/>
      <c r="DI804" s="84"/>
      <c r="DK804" s="84"/>
      <c r="DP804" s="84"/>
      <c r="DU804" s="84"/>
      <c r="DY804" s="84"/>
      <c r="EC804" s="84"/>
      <c r="EG804" s="84"/>
      <c r="EK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128"/>
      <c r="AA805" s="129"/>
      <c r="AC805" s="130"/>
      <c r="AD805" s="128"/>
      <c r="AE805" s="129"/>
      <c r="AG805" s="130"/>
      <c r="AH805" s="128"/>
      <c r="AI805" s="129"/>
      <c r="AK805" s="130"/>
      <c r="AL805" s="128"/>
      <c r="AM805" s="129"/>
      <c r="AO805" s="130"/>
      <c r="AP805" s="128"/>
      <c r="AQ805" s="129"/>
      <c r="AS805" s="130"/>
      <c r="AT805" s="128"/>
      <c r="AU805" s="129"/>
      <c r="AW805" s="130"/>
      <c r="AX805" s="85"/>
      <c r="AY805" s="84"/>
      <c r="AZ805" s="84"/>
      <c r="BA805" s="131"/>
      <c r="BB805" s="84"/>
      <c r="BE805" s="84"/>
      <c r="BI805" s="86"/>
      <c r="BO805" s="84"/>
      <c r="BT805" s="84"/>
      <c r="BY805" s="84"/>
      <c r="CD805" s="84"/>
      <c r="CI805" s="128"/>
      <c r="CJ805" s="129"/>
      <c r="CL805" s="132"/>
      <c r="CM805" s="128"/>
      <c r="CN805" s="129"/>
      <c r="CP805" s="132"/>
      <c r="CQ805" s="128"/>
      <c r="CR805" s="129"/>
      <c r="CT805" s="132"/>
      <c r="CU805" s="128"/>
      <c r="CV805" s="129"/>
      <c r="CX805" s="132"/>
      <c r="CY805" s="128"/>
      <c r="CZ805" s="129"/>
      <c r="DB805" s="132"/>
      <c r="DC805" s="128"/>
      <c r="DD805" s="129"/>
      <c r="DF805" s="132"/>
      <c r="DG805" s="85"/>
      <c r="DH805" s="85"/>
      <c r="DI805" s="84"/>
      <c r="DK805" s="84"/>
      <c r="DP805" s="84"/>
      <c r="DU805" s="84"/>
      <c r="DY805" s="84"/>
      <c r="EC805" s="84"/>
      <c r="EG805" s="84"/>
      <c r="EK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128"/>
      <c r="AA806" s="129"/>
      <c r="AC806" s="130"/>
      <c r="AD806" s="128"/>
      <c r="AE806" s="129"/>
      <c r="AG806" s="130"/>
      <c r="AH806" s="128"/>
      <c r="AI806" s="129"/>
      <c r="AK806" s="130"/>
      <c r="AL806" s="128"/>
      <c r="AM806" s="129"/>
      <c r="AO806" s="130"/>
      <c r="AP806" s="128"/>
      <c r="AQ806" s="129"/>
      <c r="AS806" s="130"/>
      <c r="AT806" s="128"/>
      <c r="AU806" s="129"/>
      <c r="AW806" s="130"/>
      <c r="AX806" s="85"/>
      <c r="AY806" s="84"/>
      <c r="AZ806" s="84"/>
      <c r="BA806" s="131"/>
      <c r="BB806" s="84"/>
      <c r="BE806" s="84"/>
      <c r="BI806" s="86"/>
      <c r="BO806" s="84"/>
      <c r="BT806" s="84"/>
      <c r="BY806" s="84"/>
      <c r="CD806" s="84"/>
      <c r="CI806" s="128"/>
      <c r="CJ806" s="129"/>
      <c r="CL806" s="132"/>
      <c r="CM806" s="128"/>
      <c r="CN806" s="129"/>
      <c r="CP806" s="132"/>
      <c r="CQ806" s="128"/>
      <c r="CR806" s="129"/>
      <c r="CT806" s="132"/>
      <c r="CU806" s="128"/>
      <c r="CV806" s="129"/>
      <c r="CX806" s="132"/>
      <c r="CY806" s="128"/>
      <c r="CZ806" s="129"/>
      <c r="DB806" s="132"/>
      <c r="DC806" s="128"/>
      <c r="DD806" s="129"/>
      <c r="DF806" s="132"/>
      <c r="DG806" s="85"/>
      <c r="DH806" s="85"/>
      <c r="DI806" s="84"/>
      <c r="DK806" s="84"/>
      <c r="DP806" s="84"/>
      <c r="DU806" s="84"/>
      <c r="DY806" s="84"/>
      <c r="EC806" s="84"/>
      <c r="EG806" s="84"/>
      <c r="EK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128"/>
      <c r="AA807" s="129"/>
      <c r="AC807" s="130"/>
      <c r="AD807" s="128"/>
      <c r="AE807" s="129"/>
      <c r="AG807" s="130"/>
      <c r="AH807" s="128"/>
      <c r="AI807" s="129"/>
      <c r="AK807" s="130"/>
      <c r="AL807" s="128"/>
      <c r="AM807" s="129"/>
      <c r="AO807" s="130"/>
      <c r="AP807" s="128"/>
      <c r="AQ807" s="129"/>
      <c r="AS807" s="130"/>
      <c r="AT807" s="128"/>
      <c r="AU807" s="129"/>
      <c r="AW807" s="130"/>
      <c r="AX807" s="85"/>
      <c r="AY807" s="84"/>
      <c r="AZ807" s="84"/>
      <c r="BA807" s="131"/>
      <c r="BB807" s="84"/>
      <c r="BE807" s="84"/>
      <c r="BI807" s="86"/>
      <c r="BO807" s="84"/>
      <c r="BT807" s="84"/>
      <c r="BY807" s="84"/>
      <c r="CD807" s="84"/>
      <c r="CI807" s="128"/>
      <c r="CJ807" s="129"/>
      <c r="CL807" s="132"/>
      <c r="CM807" s="128"/>
      <c r="CN807" s="129"/>
      <c r="CP807" s="132"/>
      <c r="CQ807" s="128"/>
      <c r="CR807" s="129"/>
      <c r="CT807" s="132"/>
      <c r="CU807" s="128"/>
      <c r="CV807" s="129"/>
      <c r="CX807" s="132"/>
      <c r="CY807" s="128"/>
      <c r="CZ807" s="129"/>
      <c r="DB807" s="132"/>
      <c r="DC807" s="128"/>
      <c r="DD807" s="129"/>
      <c r="DF807" s="132"/>
      <c r="DG807" s="85"/>
      <c r="DH807" s="85"/>
      <c r="DI807" s="84"/>
      <c r="DK807" s="84"/>
      <c r="DP807" s="84"/>
      <c r="DU807" s="84"/>
      <c r="DY807" s="84"/>
      <c r="EC807" s="84"/>
      <c r="EG807" s="84"/>
      <c r="EK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128"/>
      <c r="AA808" s="129"/>
      <c r="AC808" s="130"/>
      <c r="AD808" s="128"/>
      <c r="AE808" s="129"/>
      <c r="AG808" s="130"/>
      <c r="AH808" s="128"/>
      <c r="AI808" s="129"/>
      <c r="AK808" s="130"/>
      <c r="AL808" s="128"/>
      <c r="AM808" s="129"/>
      <c r="AO808" s="130"/>
      <c r="AP808" s="128"/>
      <c r="AQ808" s="129"/>
      <c r="AS808" s="130"/>
      <c r="AT808" s="128"/>
      <c r="AU808" s="129"/>
      <c r="AW808" s="130"/>
      <c r="AX808" s="85"/>
      <c r="AY808" s="84"/>
      <c r="AZ808" s="84"/>
      <c r="BA808" s="131"/>
      <c r="BB808" s="84"/>
      <c r="BE808" s="84"/>
      <c r="BI808" s="86"/>
      <c r="BO808" s="84"/>
      <c r="BT808" s="84"/>
      <c r="BY808" s="84"/>
      <c r="CD808" s="84"/>
      <c r="CI808" s="128"/>
      <c r="CJ808" s="129"/>
      <c r="CL808" s="132"/>
      <c r="CM808" s="128"/>
      <c r="CN808" s="129"/>
      <c r="CP808" s="132"/>
      <c r="CQ808" s="128"/>
      <c r="CR808" s="129"/>
      <c r="CT808" s="132"/>
      <c r="CU808" s="128"/>
      <c r="CV808" s="129"/>
      <c r="CX808" s="132"/>
      <c r="CY808" s="128"/>
      <c r="CZ808" s="129"/>
      <c r="DB808" s="132"/>
      <c r="DC808" s="128"/>
      <c r="DD808" s="129"/>
      <c r="DF808" s="132"/>
      <c r="DG808" s="85"/>
      <c r="DH808" s="85"/>
      <c r="DI808" s="84"/>
      <c r="DK808" s="84"/>
      <c r="DP808" s="84"/>
      <c r="DU808" s="84"/>
      <c r="DY808" s="84"/>
      <c r="EC808" s="84"/>
      <c r="EG808" s="84"/>
      <c r="EK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128"/>
      <c r="AA809" s="129"/>
      <c r="AC809" s="130"/>
      <c r="AD809" s="128"/>
      <c r="AE809" s="129"/>
      <c r="AG809" s="130"/>
      <c r="AH809" s="128"/>
      <c r="AI809" s="129"/>
      <c r="AK809" s="130"/>
      <c r="AL809" s="128"/>
      <c r="AM809" s="129"/>
      <c r="AO809" s="130"/>
      <c r="AP809" s="128"/>
      <c r="AQ809" s="129"/>
      <c r="AS809" s="130"/>
      <c r="AT809" s="128"/>
      <c r="AU809" s="129"/>
      <c r="AW809" s="130"/>
      <c r="AX809" s="85"/>
      <c r="AY809" s="84"/>
      <c r="AZ809" s="84"/>
      <c r="BA809" s="131"/>
      <c r="BB809" s="84"/>
      <c r="BE809" s="84"/>
      <c r="BI809" s="86"/>
      <c r="BO809" s="84"/>
      <c r="BT809" s="84"/>
      <c r="BY809" s="84"/>
      <c r="CD809" s="84"/>
      <c r="CI809" s="128"/>
      <c r="CJ809" s="129"/>
      <c r="CL809" s="132"/>
      <c r="CM809" s="128"/>
      <c r="CN809" s="129"/>
      <c r="CP809" s="132"/>
      <c r="CQ809" s="128"/>
      <c r="CR809" s="129"/>
      <c r="CT809" s="132"/>
      <c r="CU809" s="128"/>
      <c r="CV809" s="129"/>
      <c r="CX809" s="132"/>
      <c r="CY809" s="128"/>
      <c r="CZ809" s="129"/>
      <c r="DB809" s="132"/>
      <c r="DC809" s="128"/>
      <c r="DD809" s="129"/>
      <c r="DF809" s="132"/>
      <c r="DG809" s="85"/>
      <c r="DH809" s="85"/>
      <c r="DI809" s="84"/>
      <c r="DK809" s="84"/>
      <c r="DP809" s="84"/>
      <c r="DU809" s="84"/>
      <c r="DY809" s="84"/>
      <c r="EC809" s="84"/>
      <c r="EG809" s="84"/>
      <c r="EK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128"/>
      <c r="AA810" s="129"/>
      <c r="AC810" s="130"/>
      <c r="AD810" s="128"/>
      <c r="AE810" s="129"/>
      <c r="AG810" s="130"/>
      <c r="AH810" s="128"/>
      <c r="AI810" s="129"/>
      <c r="AK810" s="130"/>
      <c r="AL810" s="128"/>
      <c r="AM810" s="129"/>
      <c r="AO810" s="130"/>
      <c r="AP810" s="128"/>
      <c r="AQ810" s="129"/>
      <c r="AS810" s="130"/>
      <c r="AT810" s="128"/>
      <c r="AU810" s="129"/>
      <c r="AW810" s="130"/>
      <c r="AX810" s="85"/>
      <c r="AY810" s="84"/>
      <c r="AZ810" s="84"/>
      <c r="BA810" s="131"/>
      <c r="BB810" s="84"/>
      <c r="BE810" s="84"/>
      <c r="BI810" s="86"/>
      <c r="BO810" s="84"/>
      <c r="BT810" s="84"/>
      <c r="BY810" s="84"/>
      <c r="CD810" s="84"/>
      <c r="CI810" s="128"/>
      <c r="CJ810" s="129"/>
      <c r="CL810" s="132"/>
      <c r="CM810" s="128"/>
      <c r="CN810" s="129"/>
      <c r="CP810" s="132"/>
      <c r="CQ810" s="128"/>
      <c r="CR810" s="129"/>
      <c r="CT810" s="132"/>
      <c r="CU810" s="128"/>
      <c r="CV810" s="129"/>
      <c r="CX810" s="132"/>
      <c r="CY810" s="128"/>
      <c r="CZ810" s="129"/>
      <c r="DB810" s="132"/>
      <c r="DC810" s="128"/>
      <c r="DD810" s="129"/>
      <c r="DF810" s="132"/>
      <c r="DG810" s="85"/>
      <c r="DH810" s="85"/>
      <c r="DI810" s="84"/>
      <c r="DK810" s="84"/>
      <c r="DP810" s="84"/>
      <c r="DU810" s="84"/>
      <c r="DY810" s="84"/>
      <c r="EC810" s="84"/>
      <c r="EG810" s="84"/>
      <c r="EK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128"/>
      <c r="AA811" s="129"/>
      <c r="AC811" s="130"/>
      <c r="AD811" s="128"/>
      <c r="AE811" s="129"/>
      <c r="AG811" s="130"/>
      <c r="AH811" s="128"/>
      <c r="AI811" s="129"/>
      <c r="AK811" s="130"/>
      <c r="AL811" s="128"/>
      <c r="AM811" s="129"/>
      <c r="AO811" s="130"/>
      <c r="AP811" s="128"/>
      <c r="AQ811" s="129"/>
      <c r="AS811" s="130"/>
      <c r="AT811" s="128"/>
      <c r="AU811" s="129"/>
      <c r="AW811" s="130"/>
      <c r="AX811" s="85"/>
      <c r="AY811" s="84"/>
      <c r="AZ811" s="84"/>
      <c r="BA811" s="131"/>
      <c r="BB811" s="84"/>
      <c r="BE811" s="84"/>
      <c r="BI811" s="86"/>
      <c r="BO811" s="84"/>
      <c r="BT811" s="84"/>
      <c r="BY811" s="84"/>
      <c r="CD811" s="84"/>
      <c r="CI811" s="128"/>
      <c r="CJ811" s="129"/>
      <c r="CL811" s="132"/>
      <c r="CM811" s="128"/>
      <c r="CN811" s="129"/>
      <c r="CP811" s="132"/>
      <c r="CQ811" s="128"/>
      <c r="CR811" s="129"/>
      <c r="CT811" s="132"/>
      <c r="CU811" s="128"/>
      <c r="CV811" s="129"/>
      <c r="CX811" s="132"/>
      <c r="CY811" s="128"/>
      <c r="CZ811" s="129"/>
      <c r="DB811" s="132"/>
      <c r="DC811" s="128"/>
      <c r="DD811" s="129"/>
      <c r="DF811" s="132"/>
      <c r="DG811" s="85"/>
      <c r="DH811" s="85"/>
      <c r="DI811" s="84"/>
      <c r="DK811" s="84"/>
      <c r="DP811" s="84"/>
      <c r="DU811" s="84"/>
      <c r="DY811" s="84"/>
      <c r="EC811" s="84"/>
      <c r="EG811" s="84"/>
      <c r="EK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128"/>
      <c r="AA812" s="129"/>
      <c r="AC812" s="130"/>
      <c r="AD812" s="128"/>
      <c r="AE812" s="129"/>
      <c r="AG812" s="130"/>
      <c r="AH812" s="128"/>
      <c r="AI812" s="129"/>
      <c r="AK812" s="130"/>
      <c r="AL812" s="128"/>
      <c r="AM812" s="129"/>
      <c r="AO812" s="130"/>
      <c r="AP812" s="128"/>
      <c r="AQ812" s="129"/>
      <c r="AS812" s="130"/>
      <c r="AT812" s="128"/>
      <c r="AU812" s="129"/>
      <c r="AW812" s="130"/>
      <c r="AX812" s="85"/>
      <c r="AY812" s="84"/>
      <c r="AZ812" s="84"/>
      <c r="BA812" s="131"/>
      <c r="BB812" s="84"/>
      <c r="BE812" s="84"/>
      <c r="BI812" s="86"/>
      <c r="BO812" s="84"/>
      <c r="BT812" s="84"/>
      <c r="BY812" s="84"/>
      <c r="CD812" s="84"/>
      <c r="CI812" s="128"/>
      <c r="CJ812" s="129"/>
      <c r="CL812" s="132"/>
      <c r="CM812" s="128"/>
      <c r="CN812" s="129"/>
      <c r="CP812" s="132"/>
      <c r="CQ812" s="128"/>
      <c r="CR812" s="129"/>
      <c r="CT812" s="132"/>
      <c r="CU812" s="128"/>
      <c r="CV812" s="129"/>
      <c r="CX812" s="132"/>
      <c r="CY812" s="128"/>
      <c r="CZ812" s="129"/>
      <c r="DB812" s="132"/>
      <c r="DC812" s="128"/>
      <c r="DD812" s="129"/>
      <c r="DF812" s="132"/>
      <c r="DG812" s="85"/>
      <c r="DH812" s="85"/>
      <c r="DI812" s="84"/>
      <c r="DK812" s="84"/>
      <c r="DP812" s="84"/>
      <c r="DU812" s="84"/>
      <c r="DY812" s="84"/>
      <c r="EC812" s="84"/>
      <c r="EG812" s="84"/>
      <c r="EK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128"/>
      <c r="AA813" s="129"/>
      <c r="AC813" s="130"/>
      <c r="AD813" s="128"/>
      <c r="AE813" s="129"/>
      <c r="AG813" s="130"/>
      <c r="AH813" s="128"/>
      <c r="AI813" s="129"/>
      <c r="AK813" s="130"/>
      <c r="AL813" s="128"/>
      <c r="AM813" s="129"/>
      <c r="AO813" s="130"/>
      <c r="AP813" s="128"/>
      <c r="AQ813" s="129"/>
      <c r="AS813" s="130"/>
      <c r="AT813" s="128"/>
      <c r="AU813" s="129"/>
      <c r="AW813" s="130"/>
      <c r="AX813" s="85"/>
      <c r="AY813" s="84"/>
      <c r="AZ813" s="84"/>
      <c r="BA813" s="131"/>
      <c r="BB813" s="84"/>
      <c r="BE813" s="84"/>
      <c r="BI813" s="86"/>
      <c r="BO813" s="84"/>
      <c r="BT813" s="84"/>
      <c r="BY813" s="84"/>
      <c r="CD813" s="84"/>
      <c r="CI813" s="128"/>
      <c r="CJ813" s="129"/>
      <c r="CL813" s="132"/>
      <c r="CM813" s="128"/>
      <c r="CN813" s="129"/>
      <c r="CP813" s="132"/>
      <c r="CQ813" s="128"/>
      <c r="CR813" s="129"/>
      <c r="CT813" s="132"/>
      <c r="CU813" s="128"/>
      <c r="CV813" s="129"/>
      <c r="CX813" s="132"/>
      <c r="CY813" s="128"/>
      <c r="CZ813" s="129"/>
      <c r="DB813" s="132"/>
      <c r="DC813" s="128"/>
      <c r="DD813" s="129"/>
      <c r="DF813" s="132"/>
      <c r="DG813" s="85"/>
      <c r="DH813" s="85"/>
      <c r="DI813" s="84"/>
      <c r="DK813" s="84"/>
      <c r="DP813" s="84"/>
      <c r="DU813" s="84"/>
      <c r="DY813" s="84"/>
      <c r="EC813" s="84"/>
      <c r="EG813" s="84"/>
      <c r="EK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128"/>
      <c r="AA814" s="129"/>
      <c r="AC814" s="130"/>
      <c r="AD814" s="128"/>
      <c r="AE814" s="129"/>
      <c r="AG814" s="130"/>
      <c r="AH814" s="128"/>
      <c r="AI814" s="129"/>
      <c r="AK814" s="130"/>
      <c r="AL814" s="128"/>
      <c r="AM814" s="129"/>
      <c r="AO814" s="130"/>
      <c r="AP814" s="128"/>
      <c r="AQ814" s="129"/>
      <c r="AS814" s="130"/>
      <c r="AT814" s="128"/>
      <c r="AU814" s="129"/>
      <c r="AW814" s="130"/>
      <c r="AX814" s="85"/>
      <c r="AY814" s="84"/>
      <c r="AZ814" s="84"/>
      <c r="BA814" s="131"/>
      <c r="BB814" s="84"/>
      <c r="BE814" s="84"/>
      <c r="BI814" s="86"/>
      <c r="BO814" s="84"/>
      <c r="BT814" s="84"/>
      <c r="BY814" s="84"/>
      <c r="CD814" s="84"/>
      <c r="CI814" s="128"/>
      <c r="CJ814" s="129"/>
      <c r="CL814" s="132"/>
      <c r="CM814" s="128"/>
      <c r="CN814" s="129"/>
      <c r="CP814" s="132"/>
      <c r="CQ814" s="128"/>
      <c r="CR814" s="129"/>
      <c r="CT814" s="132"/>
      <c r="CU814" s="128"/>
      <c r="CV814" s="129"/>
      <c r="CX814" s="132"/>
      <c r="CY814" s="128"/>
      <c r="CZ814" s="129"/>
      <c r="DB814" s="132"/>
      <c r="DC814" s="128"/>
      <c r="DD814" s="129"/>
      <c r="DF814" s="132"/>
      <c r="DG814" s="85"/>
      <c r="DH814" s="85"/>
      <c r="DI814" s="84"/>
      <c r="DK814" s="84"/>
      <c r="DP814" s="84"/>
      <c r="DU814" s="84"/>
      <c r="DY814" s="84"/>
      <c r="EC814" s="84"/>
      <c r="EG814" s="84"/>
      <c r="EK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128"/>
      <c r="AA815" s="129"/>
      <c r="AC815" s="130"/>
      <c r="AD815" s="128"/>
      <c r="AE815" s="129"/>
      <c r="AG815" s="130"/>
      <c r="AH815" s="128"/>
      <c r="AI815" s="129"/>
      <c r="AK815" s="130"/>
      <c r="AL815" s="128"/>
      <c r="AM815" s="129"/>
      <c r="AO815" s="130"/>
      <c r="AP815" s="128"/>
      <c r="AQ815" s="129"/>
      <c r="AS815" s="130"/>
      <c r="AT815" s="128"/>
      <c r="AU815" s="129"/>
      <c r="AW815" s="130"/>
      <c r="AX815" s="85"/>
      <c r="AY815" s="84"/>
      <c r="AZ815" s="84"/>
      <c r="BA815" s="131"/>
      <c r="BB815" s="84"/>
      <c r="BE815" s="84"/>
      <c r="BI815" s="86"/>
      <c r="BO815" s="84"/>
      <c r="BT815" s="84"/>
      <c r="BY815" s="84"/>
      <c r="CD815" s="84"/>
      <c r="CI815" s="128"/>
      <c r="CJ815" s="129"/>
      <c r="CL815" s="132"/>
      <c r="CM815" s="128"/>
      <c r="CN815" s="129"/>
      <c r="CP815" s="132"/>
      <c r="CQ815" s="128"/>
      <c r="CR815" s="129"/>
      <c r="CT815" s="132"/>
      <c r="CU815" s="128"/>
      <c r="CV815" s="129"/>
      <c r="CX815" s="132"/>
      <c r="CY815" s="128"/>
      <c r="CZ815" s="129"/>
      <c r="DB815" s="132"/>
      <c r="DC815" s="128"/>
      <c r="DD815" s="129"/>
      <c r="DF815" s="132"/>
      <c r="DG815" s="85"/>
      <c r="DH815" s="85"/>
      <c r="DI815" s="84"/>
      <c r="DK815" s="84"/>
      <c r="DP815" s="84"/>
      <c r="DU815" s="84"/>
      <c r="DY815" s="84"/>
      <c r="EC815" s="84"/>
      <c r="EG815" s="84"/>
      <c r="EK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128"/>
      <c r="AA816" s="129"/>
      <c r="AC816" s="130"/>
      <c r="AD816" s="128"/>
      <c r="AE816" s="129"/>
      <c r="AG816" s="130"/>
      <c r="AH816" s="128"/>
      <c r="AI816" s="129"/>
      <c r="AK816" s="130"/>
      <c r="AL816" s="128"/>
      <c r="AM816" s="129"/>
      <c r="AO816" s="130"/>
      <c r="AP816" s="128"/>
      <c r="AQ816" s="129"/>
      <c r="AS816" s="130"/>
      <c r="AT816" s="128"/>
      <c r="AU816" s="129"/>
      <c r="AW816" s="130"/>
      <c r="AX816" s="85"/>
      <c r="AY816" s="84"/>
      <c r="AZ816" s="84"/>
      <c r="BA816" s="131"/>
      <c r="BB816" s="84"/>
      <c r="BE816" s="84"/>
      <c r="BI816" s="86"/>
      <c r="BO816" s="84"/>
      <c r="BT816" s="84"/>
      <c r="BY816" s="84"/>
      <c r="CD816" s="84"/>
      <c r="CI816" s="128"/>
      <c r="CJ816" s="129"/>
      <c r="CL816" s="132"/>
      <c r="CM816" s="128"/>
      <c r="CN816" s="129"/>
      <c r="CP816" s="132"/>
      <c r="CQ816" s="128"/>
      <c r="CR816" s="129"/>
      <c r="CT816" s="132"/>
      <c r="CU816" s="128"/>
      <c r="CV816" s="129"/>
      <c r="CX816" s="132"/>
      <c r="CY816" s="128"/>
      <c r="CZ816" s="129"/>
      <c r="DB816" s="132"/>
      <c r="DC816" s="128"/>
      <c r="DD816" s="129"/>
      <c r="DF816" s="132"/>
      <c r="DG816" s="85"/>
      <c r="DH816" s="85"/>
      <c r="DI816" s="84"/>
      <c r="DK816" s="84"/>
      <c r="DP816" s="84"/>
      <c r="DU816" s="84"/>
      <c r="DY816" s="84"/>
      <c r="EC816" s="84"/>
      <c r="EG816" s="84"/>
      <c r="EK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128"/>
      <c r="AA817" s="129"/>
      <c r="AC817" s="130"/>
      <c r="AD817" s="128"/>
      <c r="AE817" s="129"/>
      <c r="AG817" s="130"/>
      <c r="AH817" s="128"/>
      <c r="AI817" s="129"/>
      <c r="AK817" s="130"/>
      <c r="AL817" s="128"/>
      <c r="AM817" s="129"/>
      <c r="AO817" s="130"/>
      <c r="AP817" s="128"/>
      <c r="AQ817" s="129"/>
      <c r="AS817" s="130"/>
      <c r="AT817" s="128"/>
      <c r="AU817" s="129"/>
      <c r="AW817" s="130"/>
      <c r="AX817" s="85"/>
      <c r="AY817" s="84"/>
      <c r="AZ817" s="84"/>
      <c r="BA817" s="131"/>
      <c r="BB817" s="84"/>
      <c r="BE817" s="84"/>
      <c r="BI817" s="86"/>
      <c r="BO817" s="84"/>
      <c r="BT817" s="84"/>
      <c r="BY817" s="84"/>
      <c r="CD817" s="84"/>
      <c r="CI817" s="128"/>
      <c r="CJ817" s="129"/>
      <c r="CL817" s="132"/>
      <c r="CM817" s="128"/>
      <c r="CN817" s="129"/>
      <c r="CP817" s="132"/>
      <c r="CQ817" s="128"/>
      <c r="CR817" s="129"/>
      <c r="CT817" s="132"/>
      <c r="CU817" s="128"/>
      <c r="CV817" s="129"/>
      <c r="CX817" s="132"/>
      <c r="CY817" s="128"/>
      <c r="CZ817" s="129"/>
      <c r="DB817" s="132"/>
      <c r="DC817" s="128"/>
      <c r="DD817" s="129"/>
      <c r="DF817" s="132"/>
      <c r="DG817" s="85"/>
      <c r="DH817" s="85"/>
      <c r="DI817" s="84"/>
      <c r="DK817" s="84"/>
      <c r="DP817" s="84"/>
      <c r="DU817" s="84"/>
      <c r="DY817" s="84"/>
      <c r="EC817" s="84"/>
      <c r="EG817" s="84"/>
      <c r="EK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128"/>
      <c r="AA818" s="129"/>
      <c r="AC818" s="130"/>
      <c r="AD818" s="128"/>
      <c r="AE818" s="129"/>
      <c r="AG818" s="130"/>
      <c r="AH818" s="128"/>
      <c r="AI818" s="129"/>
      <c r="AK818" s="130"/>
      <c r="AL818" s="128"/>
      <c r="AM818" s="129"/>
      <c r="AO818" s="130"/>
      <c r="AP818" s="128"/>
      <c r="AQ818" s="129"/>
      <c r="AS818" s="130"/>
      <c r="AT818" s="128"/>
      <c r="AU818" s="129"/>
      <c r="AW818" s="130"/>
      <c r="AX818" s="85"/>
      <c r="AY818" s="84"/>
      <c r="AZ818" s="84"/>
      <c r="BA818" s="131"/>
      <c r="BB818" s="84"/>
      <c r="BE818" s="84"/>
      <c r="BI818" s="86"/>
      <c r="BO818" s="84"/>
      <c r="BT818" s="84"/>
      <c r="BY818" s="84"/>
      <c r="CD818" s="84"/>
      <c r="CI818" s="128"/>
      <c r="CJ818" s="129"/>
      <c r="CL818" s="132"/>
      <c r="CM818" s="128"/>
      <c r="CN818" s="129"/>
      <c r="CP818" s="132"/>
      <c r="CQ818" s="128"/>
      <c r="CR818" s="129"/>
      <c r="CT818" s="132"/>
      <c r="CU818" s="128"/>
      <c r="CV818" s="129"/>
      <c r="CX818" s="132"/>
      <c r="CY818" s="128"/>
      <c r="CZ818" s="129"/>
      <c r="DB818" s="132"/>
      <c r="DC818" s="128"/>
      <c r="DD818" s="129"/>
      <c r="DF818" s="132"/>
      <c r="DG818" s="85"/>
      <c r="DH818" s="85"/>
      <c r="DI818" s="84"/>
      <c r="DK818" s="84"/>
      <c r="DP818" s="84"/>
      <c r="DU818" s="84"/>
      <c r="DY818" s="84"/>
      <c r="EC818" s="84"/>
      <c r="EG818" s="84"/>
      <c r="EK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128"/>
      <c r="AA819" s="129"/>
      <c r="AC819" s="130"/>
      <c r="AD819" s="128"/>
      <c r="AE819" s="129"/>
      <c r="AG819" s="130"/>
      <c r="AH819" s="128"/>
      <c r="AI819" s="129"/>
      <c r="AK819" s="130"/>
      <c r="AL819" s="128"/>
      <c r="AM819" s="129"/>
      <c r="AO819" s="130"/>
      <c r="AP819" s="128"/>
      <c r="AQ819" s="129"/>
      <c r="AS819" s="130"/>
      <c r="AT819" s="128"/>
      <c r="AU819" s="129"/>
      <c r="AW819" s="130"/>
      <c r="AX819" s="85"/>
      <c r="AY819" s="84"/>
      <c r="AZ819" s="84"/>
      <c r="BA819" s="131"/>
      <c r="BB819" s="84"/>
      <c r="BE819" s="84"/>
      <c r="BI819" s="86"/>
      <c r="BO819" s="84"/>
      <c r="BT819" s="84"/>
      <c r="BY819" s="84"/>
      <c r="CD819" s="84"/>
      <c r="CI819" s="128"/>
      <c r="CJ819" s="129"/>
      <c r="CL819" s="132"/>
      <c r="CM819" s="128"/>
      <c r="CN819" s="129"/>
      <c r="CP819" s="132"/>
      <c r="CQ819" s="128"/>
      <c r="CR819" s="129"/>
      <c r="CT819" s="132"/>
      <c r="CU819" s="128"/>
      <c r="CV819" s="129"/>
      <c r="CX819" s="132"/>
      <c r="CY819" s="128"/>
      <c r="CZ819" s="129"/>
      <c r="DB819" s="132"/>
      <c r="DC819" s="128"/>
      <c r="DD819" s="129"/>
      <c r="DF819" s="132"/>
      <c r="DG819" s="85"/>
      <c r="DH819" s="85"/>
      <c r="DI819" s="84"/>
      <c r="DK819" s="84"/>
      <c r="DP819" s="84"/>
      <c r="DU819" s="84"/>
      <c r="DY819" s="84"/>
      <c r="EC819" s="84"/>
      <c r="EG819" s="84"/>
      <c r="EK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128"/>
      <c r="AA820" s="129"/>
      <c r="AC820" s="130"/>
      <c r="AD820" s="128"/>
      <c r="AE820" s="129"/>
      <c r="AG820" s="130"/>
      <c r="AH820" s="128"/>
      <c r="AI820" s="129"/>
      <c r="AK820" s="130"/>
      <c r="AL820" s="128"/>
      <c r="AM820" s="129"/>
      <c r="AO820" s="130"/>
      <c r="AP820" s="128"/>
      <c r="AQ820" s="129"/>
      <c r="AS820" s="130"/>
      <c r="AT820" s="128"/>
      <c r="AU820" s="129"/>
      <c r="AW820" s="130"/>
      <c r="AX820" s="85"/>
      <c r="AY820" s="84"/>
      <c r="AZ820" s="84"/>
      <c r="BA820" s="131"/>
      <c r="BB820" s="84"/>
      <c r="BE820" s="84"/>
      <c r="BI820" s="86"/>
      <c r="BO820" s="84"/>
      <c r="BT820" s="84"/>
      <c r="BY820" s="84"/>
      <c r="CD820" s="84"/>
      <c r="CI820" s="128"/>
      <c r="CJ820" s="129"/>
      <c r="CL820" s="132"/>
      <c r="CM820" s="128"/>
      <c r="CN820" s="129"/>
      <c r="CP820" s="132"/>
      <c r="CQ820" s="128"/>
      <c r="CR820" s="129"/>
      <c r="CT820" s="132"/>
      <c r="CU820" s="128"/>
      <c r="CV820" s="129"/>
      <c r="CX820" s="132"/>
      <c r="CY820" s="128"/>
      <c r="CZ820" s="129"/>
      <c r="DB820" s="132"/>
      <c r="DC820" s="128"/>
      <c r="DD820" s="129"/>
      <c r="DF820" s="132"/>
      <c r="DG820" s="85"/>
      <c r="DH820" s="85"/>
      <c r="DI820" s="84"/>
      <c r="DK820" s="84"/>
      <c r="DP820" s="84"/>
      <c r="DU820" s="84"/>
      <c r="DY820" s="84"/>
      <c r="EC820" s="84"/>
      <c r="EG820" s="84"/>
      <c r="EK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128"/>
      <c r="AA821" s="129"/>
      <c r="AC821" s="130"/>
      <c r="AD821" s="128"/>
      <c r="AE821" s="129"/>
      <c r="AG821" s="130"/>
      <c r="AH821" s="128"/>
      <c r="AI821" s="129"/>
      <c r="AK821" s="130"/>
      <c r="AL821" s="128"/>
      <c r="AM821" s="129"/>
      <c r="AO821" s="130"/>
      <c r="AP821" s="128"/>
      <c r="AQ821" s="129"/>
      <c r="AS821" s="130"/>
      <c r="AT821" s="128"/>
      <c r="AU821" s="129"/>
      <c r="AW821" s="130"/>
      <c r="AX821" s="85"/>
      <c r="AY821" s="84"/>
      <c r="AZ821" s="84"/>
      <c r="BA821" s="131"/>
      <c r="BB821" s="84"/>
      <c r="BE821" s="84"/>
      <c r="BI821" s="86"/>
      <c r="BO821" s="84"/>
      <c r="BT821" s="84"/>
      <c r="BY821" s="84"/>
      <c r="CD821" s="84"/>
      <c r="CI821" s="128"/>
      <c r="CJ821" s="129"/>
      <c r="CL821" s="132"/>
      <c r="CM821" s="128"/>
      <c r="CN821" s="129"/>
      <c r="CP821" s="132"/>
      <c r="CQ821" s="128"/>
      <c r="CR821" s="129"/>
      <c r="CT821" s="132"/>
      <c r="CU821" s="128"/>
      <c r="CV821" s="129"/>
      <c r="CX821" s="132"/>
      <c r="CY821" s="128"/>
      <c r="CZ821" s="129"/>
      <c r="DB821" s="132"/>
      <c r="DC821" s="128"/>
      <c r="DD821" s="129"/>
      <c r="DF821" s="132"/>
      <c r="DG821" s="85"/>
      <c r="DH821" s="85"/>
      <c r="DI821" s="84"/>
      <c r="DK821" s="84"/>
      <c r="DP821" s="84"/>
      <c r="DU821" s="84"/>
      <c r="DY821" s="84"/>
      <c r="EC821" s="84"/>
      <c r="EG821" s="84"/>
      <c r="EK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128"/>
      <c r="AA822" s="129"/>
      <c r="AC822" s="130"/>
      <c r="AD822" s="128"/>
      <c r="AE822" s="129"/>
      <c r="AG822" s="130"/>
      <c r="AH822" s="128"/>
      <c r="AI822" s="129"/>
      <c r="AK822" s="130"/>
      <c r="AL822" s="128"/>
      <c r="AM822" s="129"/>
      <c r="AO822" s="130"/>
      <c r="AP822" s="128"/>
      <c r="AQ822" s="129"/>
      <c r="AS822" s="130"/>
      <c r="AT822" s="128"/>
      <c r="AU822" s="129"/>
      <c r="AW822" s="130"/>
      <c r="AX822" s="85"/>
      <c r="AY822" s="84"/>
      <c r="AZ822" s="84"/>
      <c r="BA822" s="131"/>
      <c r="BB822" s="84"/>
      <c r="BE822" s="84"/>
      <c r="BI822" s="86"/>
      <c r="BO822" s="84"/>
      <c r="BT822" s="84"/>
      <c r="BY822" s="84"/>
      <c r="CD822" s="84"/>
      <c r="CI822" s="128"/>
      <c r="CJ822" s="129"/>
      <c r="CL822" s="132"/>
      <c r="CM822" s="128"/>
      <c r="CN822" s="129"/>
      <c r="CP822" s="132"/>
      <c r="CQ822" s="128"/>
      <c r="CR822" s="129"/>
      <c r="CT822" s="132"/>
      <c r="CU822" s="128"/>
      <c r="CV822" s="129"/>
      <c r="CX822" s="132"/>
      <c r="CY822" s="128"/>
      <c r="CZ822" s="129"/>
      <c r="DB822" s="132"/>
      <c r="DC822" s="128"/>
      <c r="DD822" s="129"/>
      <c r="DF822" s="132"/>
      <c r="DG822" s="85"/>
      <c r="DH822" s="85"/>
      <c r="DI822" s="84"/>
      <c r="DK822" s="84"/>
      <c r="DP822" s="84"/>
      <c r="DU822" s="84"/>
      <c r="DY822" s="84"/>
      <c r="EC822" s="84"/>
      <c r="EG822" s="84"/>
      <c r="EK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128"/>
      <c r="AA823" s="129"/>
      <c r="AC823" s="130"/>
      <c r="AD823" s="128"/>
      <c r="AE823" s="129"/>
      <c r="AG823" s="130"/>
      <c r="AH823" s="128"/>
      <c r="AI823" s="129"/>
      <c r="AK823" s="130"/>
      <c r="AL823" s="128"/>
      <c r="AM823" s="129"/>
      <c r="AO823" s="130"/>
      <c r="AP823" s="128"/>
      <c r="AQ823" s="129"/>
      <c r="AS823" s="130"/>
      <c r="AT823" s="128"/>
      <c r="AU823" s="129"/>
      <c r="AW823" s="130"/>
      <c r="AX823" s="85"/>
      <c r="AY823" s="84"/>
      <c r="AZ823" s="84"/>
      <c r="BA823" s="131"/>
      <c r="BB823" s="84"/>
      <c r="BE823" s="84"/>
      <c r="BI823" s="86"/>
      <c r="BO823" s="84"/>
      <c r="BT823" s="84"/>
      <c r="BY823" s="84"/>
      <c r="CD823" s="84"/>
      <c r="CI823" s="128"/>
      <c r="CJ823" s="129"/>
      <c r="CL823" s="132"/>
      <c r="CM823" s="128"/>
      <c r="CN823" s="129"/>
      <c r="CP823" s="132"/>
      <c r="CQ823" s="128"/>
      <c r="CR823" s="129"/>
      <c r="CT823" s="132"/>
      <c r="CU823" s="128"/>
      <c r="CV823" s="129"/>
      <c r="CX823" s="132"/>
      <c r="CY823" s="128"/>
      <c r="CZ823" s="129"/>
      <c r="DB823" s="132"/>
      <c r="DC823" s="128"/>
      <c r="DD823" s="129"/>
      <c r="DF823" s="132"/>
      <c r="DG823" s="85"/>
      <c r="DH823" s="85"/>
      <c r="DI823" s="84"/>
      <c r="DK823" s="84"/>
      <c r="DP823" s="84"/>
      <c r="DU823" s="84"/>
      <c r="DY823" s="84"/>
      <c r="EC823" s="84"/>
      <c r="EG823" s="84"/>
      <c r="EK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128"/>
      <c r="AA824" s="129"/>
      <c r="AC824" s="130"/>
      <c r="AD824" s="128"/>
      <c r="AE824" s="129"/>
      <c r="AG824" s="130"/>
      <c r="AH824" s="128"/>
      <c r="AI824" s="129"/>
      <c r="AK824" s="130"/>
      <c r="AL824" s="128"/>
      <c r="AM824" s="129"/>
      <c r="AO824" s="130"/>
      <c r="AP824" s="128"/>
      <c r="AQ824" s="129"/>
      <c r="AS824" s="130"/>
      <c r="AT824" s="128"/>
      <c r="AU824" s="129"/>
      <c r="AW824" s="130"/>
      <c r="AX824" s="85"/>
      <c r="AY824" s="84"/>
      <c r="AZ824" s="84"/>
      <c r="BA824" s="131"/>
      <c r="BB824" s="84"/>
      <c r="BE824" s="84"/>
      <c r="BI824" s="86"/>
      <c r="BO824" s="84"/>
      <c r="BT824" s="84"/>
      <c r="BY824" s="84"/>
      <c r="CD824" s="84"/>
      <c r="CI824" s="128"/>
      <c r="CJ824" s="129"/>
      <c r="CL824" s="132"/>
      <c r="CM824" s="128"/>
      <c r="CN824" s="129"/>
      <c r="CP824" s="132"/>
      <c r="CQ824" s="128"/>
      <c r="CR824" s="129"/>
      <c r="CT824" s="132"/>
      <c r="CU824" s="128"/>
      <c r="CV824" s="129"/>
      <c r="CX824" s="132"/>
      <c r="CY824" s="128"/>
      <c r="CZ824" s="129"/>
      <c r="DB824" s="132"/>
      <c r="DC824" s="128"/>
      <c r="DD824" s="129"/>
      <c r="DF824" s="132"/>
      <c r="DG824" s="85"/>
      <c r="DH824" s="85"/>
      <c r="DI824" s="84"/>
      <c r="DK824" s="84"/>
      <c r="DP824" s="84"/>
      <c r="DU824" s="84"/>
      <c r="DY824" s="84"/>
      <c r="EC824" s="84"/>
      <c r="EG824" s="84"/>
      <c r="EK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128"/>
      <c r="AA825" s="129"/>
      <c r="AC825" s="130"/>
      <c r="AD825" s="128"/>
      <c r="AE825" s="129"/>
      <c r="AG825" s="130"/>
      <c r="AH825" s="128"/>
      <c r="AI825" s="129"/>
      <c r="AK825" s="130"/>
      <c r="AL825" s="128"/>
      <c r="AM825" s="129"/>
      <c r="AO825" s="130"/>
      <c r="AP825" s="128"/>
      <c r="AQ825" s="129"/>
      <c r="AS825" s="130"/>
      <c r="AT825" s="128"/>
      <c r="AU825" s="129"/>
      <c r="AW825" s="130"/>
      <c r="AX825" s="85"/>
      <c r="AY825" s="84"/>
      <c r="AZ825" s="84"/>
      <c r="BA825" s="131"/>
      <c r="BB825" s="84"/>
      <c r="BE825" s="84"/>
      <c r="BI825" s="86"/>
      <c r="BO825" s="84"/>
      <c r="BT825" s="84"/>
      <c r="BY825" s="84"/>
      <c r="CD825" s="84"/>
      <c r="CI825" s="128"/>
      <c r="CJ825" s="129"/>
      <c r="CL825" s="132"/>
      <c r="CM825" s="128"/>
      <c r="CN825" s="129"/>
      <c r="CP825" s="132"/>
      <c r="CQ825" s="128"/>
      <c r="CR825" s="129"/>
      <c r="CT825" s="132"/>
      <c r="CU825" s="128"/>
      <c r="CV825" s="129"/>
      <c r="CX825" s="132"/>
      <c r="CY825" s="128"/>
      <c r="CZ825" s="129"/>
      <c r="DB825" s="132"/>
      <c r="DC825" s="128"/>
      <c r="DD825" s="129"/>
      <c r="DF825" s="132"/>
      <c r="DG825" s="85"/>
      <c r="DH825" s="85"/>
      <c r="DI825" s="84"/>
      <c r="DK825" s="84"/>
      <c r="DP825" s="84"/>
      <c r="DU825" s="84"/>
      <c r="DY825" s="84"/>
      <c r="EC825" s="84"/>
      <c r="EG825" s="84"/>
      <c r="EK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128"/>
      <c r="AA826" s="129"/>
      <c r="AC826" s="130"/>
      <c r="AD826" s="128"/>
      <c r="AE826" s="129"/>
      <c r="AG826" s="130"/>
      <c r="AH826" s="128"/>
      <c r="AI826" s="129"/>
      <c r="AK826" s="130"/>
      <c r="AL826" s="128"/>
      <c r="AM826" s="129"/>
      <c r="AO826" s="130"/>
      <c r="AP826" s="128"/>
      <c r="AQ826" s="129"/>
      <c r="AS826" s="130"/>
      <c r="AT826" s="128"/>
      <c r="AU826" s="129"/>
      <c r="AW826" s="130"/>
      <c r="AX826" s="85"/>
      <c r="AY826" s="84"/>
      <c r="AZ826" s="84"/>
      <c r="BA826" s="131"/>
      <c r="BB826" s="84"/>
      <c r="BE826" s="84"/>
      <c r="BI826" s="86"/>
      <c r="BO826" s="84"/>
      <c r="BT826" s="84"/>
      <c r="BY826" s="84"/>
      <c r="CD826" s="84"/>
      <c r="CI826" s="128"/>
      <c r="CJ826" s="129"/>
      <c r="CL826" s="132"/>
      <c r="CM826" s="128"/>
      <c r="CN826" s="129"/>
      <c r="CP826" s="132"/>
      <c r="CQ826" s="128"/>
      <c r="CR826" s="129"/>
      <c r="CT826" s="132"/>
      <c r="CU826" s="128"/>
      <c r="CV826" s="129"/>
      <c r="CX826" s="132"/>
      <c r="CY826" s="128"/>
      <c r="CZ826" s="129"/>
      <c r="DB826" s="132"/>
      <c r="DC826" s="128"/>
      <c r="DD826" s="129"/>
      <c r="DF826" s="132"/>
      <c r="DG826" s="85"/>
      <c r="DH826" s="85"/>
      <c r="DI826" s="84"/>
      <c r="DK826" s="84"/>
      <c r="DP826" s="84"/>
      <c r="DU826" s="84"/>
      <c r="DY826" s="84"/>
      <c r="EC826" s="84"/>
      <c r="EG826" s="84"/>
      <c r="EK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128"/>
      <c r="AA827" s="129"/>
      <c r="AC827" s="130"/>
      <c r="AD827" s="128"/>
      <c r="AE827" s="129"/>
      <c r="AG827" s="130"/>
      <c r="AH827" s="128"/>
      <c r="AI827" s="129"/>
      <c r="AK827" s="130"/>
      <c r="AL827" s="128"/>
      <c r="AM827" s="129"/>
      <c r="AO827" s="130"/>
      <c r="AP827" s="128"/>
      <c r="AQ827" s="129"/>
      <c r="AS827" s="130"/>
      <c r="AT827" s="128"/>
      <c r="AU827" s="129"/>
      <c r="AW827" s="130"/>
      <c r="AX827" s="85"/>
      <c r="AY827" s="84"/>
      <c r="AZ827" s="84"/>
      <c r="BA827" s="131"/>
      <c r="BB827" s="84"/>
      <c r="BE827" s="84"/>
      <c r="BI827" s="86"/>
      <c r="BO827" s="84"/>
      <c r="BT827" s="84"/>
      <c r="BY827" s="84"/>
      <c r="CD827" s="84"/>
      <c r="CI827" s="128"/>
      <c r="CJ827" s="129"/>
      <c r="CL827" s="132"/>
      <c r="CM827" s="128"/>
      <c r="CN827" s="129"/>
      <c r="CP827" s="132"/>
      <c r="CQ827" s="128"/>
      <c r="CR827" s="129"/>
      <c r="CT827" s="132"/>
      <c r="CU827" s="128"/>
      <c r="CV827" s="129"/>
      <c r="CX827" s="132"/>
      <c r="CY827" s="128"/>
      <c r="CZ827" s="129"/>
      <c r="DB827" s="132"/>
      <c r="DC827" s="128"/>
      <c r="DD827" s="129"/>
      <c r="DF827" s="132"/>
      <c r="DG827" s="85"/>
      <c r="DH827" s="85"/>
      <c r="DI827" s="84"/>
      <c r="DK827" s="84"/>
      <c r="DP827" s="84"/>
      <c r="DU827" s="84"/>
      <c r="DY827" s="84"/>
      <c r="EC827" s="84"/>
      <c r="EG827" s="84"/>
      <c r="EK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128"/>
      <c r="AA828" s="129"/>
      <c r="AC828" s="130"/>
      <c r="AD828" s="128"/>
      <c r="AE828" s="129"/>
      <c r="AG828" s="130"/>
      <c r="AH828" s="128"/>
      <c r="AI828" s="129"/>
      <c r="AK828" s="130"/>
      <c r="AL828" s="128"/>
      <c r="AM828" s="129"/>
      <c r="AO828" s="130"/>
      <c r="AP828" s="128"/>
      <c r="AQ828" s="129"/>
      <c r="AS828" s="130"/>
      <c r="AT828" s="128"/>
      <c r="AU828" s="129"/>
      <c r="AW828" s="130"/>
      <c r="AX828" s="85"/>
      <c r="AY828" s="84"/>
      <c r="AZ828" s="84"/>
      <c r="BA828" s="131"/>
      <c r="BB828" s="84"/>
      <c r="BE828" s="84"/>
      <c r="BI828" s="86"/>
      <c r="BO828" s="84"/>
      <c r="BT828" s="84"/>
      <c r="BY828" s="84"/>
      <c r="CD828" s="84"/>
      <c r="CI828" s="128"/>
      <c r="CJ828" s="129"/>
      <c r="CL828" s="132"/>
      <c r="CM828" s="128"/>
      <c r="CN828" s="129"/>
      <c r="CP828" s="132"/>
      <c r="CQ828" s="128"/>
      <c r="CR828" s="129"/>
      <c r="CT828" s="132"/>
      <c r="CU828" s="128"/>
      <c r="CV828" s="129"/>
      <c r="CX828" s="132"/>
      <c r="CY828" s="128"/>
      <c r="CZ828" s="129"/>
      <c r="DB828" s="132"/>
      <c r="DC828" s="128"/>
      <c r="DD828" s="129"/>
      <c r="DF828" s="132"/>
      <c r="DG828" s="85"/>
      <c r="DH828" s="85"/>
      <c r="DI828" s="84"/>
      <c r="DK828" s="84"/>
      <c r="DP828" s="84"/>
      <c r="DU828" s="84"/>
      <c r="DY828" s="84"/>
      <c r="EC828" s="84"/>
      <c r="EG828" s="84"/>
      <c r="EK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128"/>
      <c r="AA829" s="129"/>
      <c r="AC829" s="130"/>
      <c r="AD829" s="128"/>
      <c r="AE829" s="129"/>
      <c r="AG829" s="130"/>
      <c r="AH829" s="128"/>
      <c r="AI829" s="129"/>
      <c r="AK829" s="130"/>
      <c r="AL829" s="128"/>
      <c r="AM829" s="129"/>
      <c r="AO829" s="130"/>
      <c r="AP829" s="128"/>
      <c r="AQ829" s="129"/>
      <c r="AS829" s="130"/>
      <c r="AT829" s="128"/>
      <c r="AU829" s="129"/>
      <c r="AW829" s="130"/>
      <c r="AX829" s="85"/>
      <c r="AY829" s="84"/>
      <c r="AZ829" s="84"/>
      <c r="BA829" s="131"/>
      <c r="BB829" s="84"/>
      <c r="BE829" s="84"/>
      <c r="BI829" s="86"/>
      <c r="BO829" s="84"/>
      <c r="BT829" s="84"/>
      <c r="BY829" s="84"/>
      <c r="CD829" s="84"/>
      <c r="CI829" s="128"/>
      <c r="CJ829" s="129"/>
      <c r="CL829" s="132"/>
      <c r="CM829" s="128"/>
      <c r="CN829" s="129"/>
      <c r="CP829" s="132"/>
      <c r="CQ829" s="128"/>
      <c r="CR829" s="129"/>
      <c r="CT829" s="132"/>
      <c r="CU829" s="128"/>
      <c r="CV829" s="129"/>
      <c r="CX829" s="132"/>
      <c r="CY829" s="128"/>
      <c r="CZ829" s="129"/>
      <c r="DB829" s="132"/>
      <c r="DC829" s="128"/>
      <c r="DD829" s="129"/>
      <c r="DF829" s="132"/>
      <c r="DG829" s="85"/>
      <c r="DH829" s="85"/>
      <c r="DI829" s="84"/>
      <c r="DK829" s="84"/>
      <c r="DP829" s="84"/>
      <c r="DU829" s="84"/>
      <c r="DY829" s="84"/>
      <c r="EC829" s="84"/>
      <c r="EG829" s="84"/>
      <c r="EK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128"/>
      <c r="AA830" s="129"/>
      <c r="AC830" s="130"/>
      <c r="AD830" s="128"/>
      <c r="AE830" s="129"/>
      <c r="AG830" s="130"/>
      <c r="AH830" s="128"/>
      <c r="AI830" s="129"/>
      <c r="AK830" s="130"/>
      <c r="AL830" s="128"/>
      <c r="AM830" s="129"/>
      <c r="AO830" s="130"/>
      <c r="AP830" s="128"/>
      <c r="AQ830" s="129"/>
      <c r="AS830" s="130"/>
      <c r="AT830" s="128"/>
      <c r="AU830" s="129"/>
      <c r="AW830" s="130"/>
      <c r="AX830" s="85"/>
      <c r="AY830" s="84"/>
      <c r="AZ830" s="84"/>
      <c r="BA830" s="131"/>
      <c r="BB830" s="84"/>
      <c r="BE830" s="84"/>
      <c r="BI830" s="86"/>
      <c r="BO830" s="84"/>
      <c r="BT830" s="84"/>
      <c r="BY830" s="84"/>
      <c r="CD830" s="84"/>
      <c r="CI830" s="128"/>
      <c r="CJ830" s="129"/>
      <c r="CL830" s="132"/>
      <c r="CM830" s="128"/>
      <c r="CN830" s="129"/>
      <c r="CP830" s="132"/>
      <c r="CQ830" s="128"/>
      <c r="CR830" s="129"/>
      <c r="CT830" s="132"/>
      <c r="CU830" s="128"/>
      <c r="CV830" s="129"/>
      <c r="CX830" s="132"/>
      <c r="CY830" s="128"/>
      <c r="CZ830" s="129"/>
      <c r="DB830" s="132"/>
      <c r="DC830" s="128"/>
      <c r="DD830" s="129"/>
      <c r="DF830" s="132"/>
      <c r="DG830" s="85"/>
      <c r="DH830" s="85"/>
      <c r="DI830" s="84"/>
      <c r="DK830" s="84"/>
      <c r="DP830" s="84"/>
      <c r="DU830" s="84"/>
      <c r="DY830" s="84"/>
      <c r="EC830" s="84"/>
      <c r="EG830" s="84"/>
      <c r="EK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128"/>
      <c r="AA831" s="129"/>
      <c r="AC831" s="130"/>
      <c r="AD831" s="128"/>
      <c r="AE831" s="129"/>
      <c r="AG831" s="130"/>
      <c r="AH831" s="128"/>
      <c r="AI831" s="129"/>
      <c r="AK831" s="130"/>
      <c r="AL831" s="128"/>
      <c r="AM831" s="129"/>
      <c r="AO831" s="130"/>
      <c r="AP831" s="128"/>
      <c r="AQ831" s="129"/>
      <c r="AS831" s="130"/>
      <c r="AT831" s="128"/>
      <c r="AU831" s="129"/>
      <c r="AW831" s="130"/>
      <c r="AX831" s="85"/>
      <c r="AY831" s="84"/>
      <c r="AZ831" s="84"/>
      <c r="BA831" s="131"/>
      <c r="BB831" s="84"/>
      <c r="BE831" s="84"/>
      <c r="BI831" s="86"/>
      <c r="BO831" s="84"/>
      <c r="BT831" s="84"/>
      <c r="BY831" s="84"/>
      <c r="CD831" s="84"/>
      <c r="CI831" s="128"/>
      <c r="CJ831" s="129"/>
      <c r="CL831" s="132"/>
      <c r="CM831" s="128"/>
      <c r="CN831" s="129"/>
      <c r="CP831" s="132"/>
      <c r="CQ831" s="128"/>
      <c r="CR831" s="129"/>
      <c r="CT831" s="132"/>
      <c r="CU831" s="128"/>
      <c r="CV831" s="129"/>
      <c r="CX831" s="132"/>
      <c r="CY831" s="128"/>
      <c r="CZ831" s="129"/>
      <c r="DB831" s="132"/>
      <c r="DC831" s="128"/>
      <c r="DD831" s="129"/>
      <c r="DF831" s="132"/>
      <c r="DG831" s="85"/>
      <c r="DH831" s="85"/>
      <c r="DI831" s="84"/>
      <c r="DK831" s="84"/>
      <c r="DP831" s="84"/>
      <c r="DU831" s="84"/>
      <c r="DY831" s="84"/>
      <c r="EC831" s="84"/>
      <c r="EG831" s="84"/>
      <c r="EK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128"/>
      <c r="AA832" s="129"/>
      <c r="AC832" s="130"/>
      <c r="AD832" s="128"/>
      <c r="AE832" s="129"/>
      <c r="AG832" s="130"/>
      <c r="AH832" s="128"/>
      <c r="AI832" s="129"/>
      <c r="AK832" s="130"/>
      <c r="AL832" s="128"/>
      <c r="AM832" s="129"/>
      <c r="AO832" s="130"/>
      <c r="AP832" s="128"/>
      <c r="AQ832" s="129"/>
      <c r="AS832" s="130"/>
      <c r="AT832" s="128"/>
      <c r="AU832" s="129"/>
      <c r="AW832" s="130"/>
      <c r="AX832" s="85"/>
      <c r="AY832" s="84"/>
      <c r="AZ832" s="84"/>
      <c r="BA832" s="131"/>
      <c r="BB832" s="84"/>
      <c r="BE832" s="84"/>
      <c r="BI832" s="86"/>
      <c r="BO832" s="84"/>
      <c r="BT832" s="84"/>
      <c r="BY832" s="84"/>
      <c r="CD832" s="84"/>
      <c r="CI832" s="128"/>
      <c r="CJ832" s="129"/>
      <c r="CL832" s="132"/>
      <c r="CM832" s="128"/>
      <c r="CN832" s="129"/>
      <c r="CP832" s="132"/>
      <c r="CQ832" s="128"/>
      <c r="CR832" s="129"/>
      <c r="CT832" s="132"/>
      <c r="CU832" s="128"/>
      <c r="CV832" s="129"/>
      <c r="CX832" s="132"/>
      <c r="CY832" s="128"/>
      <c r="CZ832" s="129"/>
      <c r="DB832" s="132"/>
      <c r="DC832" s="128"/>
      <c r="DD832" s="129"/>
      <c r="DF832" s="132"/>
      <c r="DG832" s="85"/>
      <c r="DH832" s="85"/>
      <c r="DI832" s="84"/>
      <c r="DK832" s="84"/>
      <c r="DP832" s="84"/>
      <c r="DU832" s="84"/>
      <c r="DY832" s="84"/>
      <c r="EC832" s="84"/>
      <c r="EG832" s="84"/>
      <c r="EK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128"/>
      <c r="AA833" s="129"/>
      <c r="AC833" s="130"/>
      <c r="AD833" s="128"/>
      <c r="AE833" s="129"/>
      <c r="AG833" s="130"/>
      <c r="AH833" s="128"/>
      <c r="AI833" s="129"/>
      <c r="AK833" s="130"/>
      <c r="AL833" s="128"/>
      <c r="AM833" s="129"/>
      <c r="AO833" s="130"/>
      <c r="AP833" s="128"/>
      <c r="AQ833" s="129"/>
      <c r="AS833" s="130"/>
      <c r="AT833" s="128"/>
      <c r="AU833" s="129"/>
      <c r="AW833" s="130"/>
      <c r="AX833" s="85"/>
      <c r="AY833" s="84"/>
      <c r="AZ833" s="84"/>
      <c r="BA833" s="131"/>
      <c r="BB833" s="84"/>
      <c r="BE833" s="84"/>
      <c r="BI833" s="86"/>
      <c r="BO833" s="84"/>
      <c r="BT833" s="84"/>
      <c r="BY833" s="84"/>
      <c r="CD833" s="84"/>
      <c r="CI833" s="128"/>
      <c r="CJ833" s="129"/>
      <c r="CL833" s="132"/>
      <c r="CM833" s="128"/>
      <c r="CN833" s="129"/>
      <c r="CP833" s="132"/>
      <c r="CQ833" s="128"/>
      <c r="CR833" s="129"/>
      <c r="CT833" s="132"/>
      <c r="CU833" s="128"/>
      <c r="CV833" s="129"/>
      <c r="CX833" s="132"/>
      <c r="CY833" s="128"/>
      <c r="CZ833" s="129"/>
      <c r="DB833" s="132"/>
      <c r="DC833" s="128"/>
      <c r="DD833" s="129"/>
      <c r="DF833" s="132"/>
      <c r="DG833" s="85"/>
      <c r="DH833" s="85"/>
      <c r="DI833" s="84"/>
      <c r="DK833" s="84"/>
      <c r="DP833" s="84"/>
      <c r="DU833" s="84"/>
      <c r="DY833" s="84"/>
      <c r="EC833" s="84"/>
      <c r="EG833" s="84"/>
      <c r="EK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128"/>
      <c r="AA834" s="129"/>
      <c r="AC834" s="130"/>
      <c r="AD834" s="128"/>
      <c r="AE834" s="129"/>
      <c r="AG834" s="130"/>
      <c r="AH834" s="128"/>
      <c r="AI834" s="129"/>
      <c r="AK834" s="130"/>
      <c r="AL834" s="128"/>
      <c r="AM834" s="129"/>
      <c r="AO834" s="130"/>
      <c r="AP834" s="128"/>
      <c r="AQ834" s="129"/>
      <c r="AS834" s="130"/>
      <c r="AT834" s="128"/>
      <c r="AU834" s="129"/>
      <c r="AW834" s="130"/>
      <c r="AX834" s="85"/>
      <c r="AY834" s="84"/>
      <c r="AZ834" s="84"/>
      <c r="BA834" s="131"/>
      <c r="BB834" s="84"/>
      <c r="BE834" s="84"/>
      <c r="BI834" s="86"/>
      <c r="BO834" s="84"/>
      <c r="BT834" s="84"/>
      <c r="BY834" s="84"/>
      <c r="CD834" s="84"/>
      <c r="CI834" s="128"/>
      <c r="CJ834" s="129"/>
      <c r="CL834" s="132"/>
      <c r="CM834" s="128"/>
      <c r="CN834" s="129"/>
      <c r="CP834" s="132"/>
      <c r="CQ834" s="128"/>
      <c r="CR834" s="129"/>
      <c r="CT834" s="132"/>
      <c r="CU834" s="128"/>
      <c r="CV834" s="129"/>
      <c r="CX834" s="132"/>
      <c r="CY834" s="128"/>
      <c r="CZ834" s="129"/>
      <c r="DB834" s="132"/>
      <c r="DC834" s="128"/>
      <c r="DD834" s="129"/>
      <c r="DF834" s="132"/>
      <c r="DG834" s="85"/>
      <c r="DH834" s="85"/>
      <c r="DI834" s="84"/>
      <c r="DK834" s="84"/>
      <c r="DP834" s="84"/>
      <c r="DU834" s="84"/>
      <c r="DY834" s="84"/>
      <c r="EC834" s="84"/>
      <c r="EG834" s="84"/>
      <c r="EK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128"/>
      <c r="AA835" s="129"/>
      <c r="AC835" s="130"/>
      <c r="AD835" s="128"/>
      <c r="AE835" s="129"/>
      <c r="AG835" s="130"/>
      <c r="AH835" s="128"/>
      <c r="AI835" s="129"/>
      <c r="AK835" s="130"/>
      <c r="AL835" s="128"/>
      <c r="AM835" s="129"/>
      <c r="AO835" s="130"/>
      <c r="AP835" s="128"/>
      <c r="AQ835" s="129"/>
      <c r="AS835" s="130"/>
      <c r="AT835" s="128"/>
      <c r="AU835" s="129"/>
      <c r="AW835" s="130"/>
      <c r="AX835" s="85"/>
      <c r="AY835" s="84"/>
      <c r="AZ835" s="84"/>
      <c r="BA835" s="131"/>
      <c r="BB835" s="84"/>
      <c r="BE835" s="84"/>
      <c r="BI835" s="86"/>
      <c r="BO835" s="84"/>
      <c r="BT835" s="84"/>
      <c r="BY835" s="84"/>
      <c r="CD835" s="84"/>
      <c r="CI835" s="128"/>
      <c r="CJ835" s="129"/>
      <c r="CL835" s="132"/>
      <c r="CM835" s="128"/>
      <c r="CN835" s="129"/>
      <c r="CP835" s="132"/>
      <c r="CQ835" s="128"/>
      <c r="CR835" s="129"/>
      <c r="CT835" s="132"/>
      <c r="CU835" s="128"/>
      <c r="CV835" s="129"/>
      <c r="CX835" s="132"/>
      <c r="CY835" s="128"/>
      <c r="CZ835" s="129"/>
      <c r="DB835" s="132"/>
      <c r="DC835" s="128"/>
      <c r="DD835" s="129"/>
      <c r="DF835" s="132"/>
      <c r="DG835" s="85"/>
      <c r="DH835" s="85"/>
      <c r="DI835" s="84"/>
      <c r="DK835" s="84"/>
      <c r="DP835" s="84"/>
      <c r="DU835" s="84"/>
      <c r="DY835" s="84"/>
      <c r="EC835" s="84"/>
      <c r="EG835" s="84"/>
      <c r="EK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128"/>
      <c r="AA836" s="129"/>
      <c r="AC836" s="130"/>
      <c r="AD836" s="128"/>
      <c r="AE836" s="129"/>
      <c r="AG836" s="130"/>
      <c r="AH836" s="128"/>
      <c r="AI836" s="129"/>
      <c r="AK836" s="130"/>
      <c r="AL836" s="128"/>
      <c r="AM836" s="129"/>
      <c r="AO836" s="130"/>
      <c r="AP836" s="128"/>
      <c r="AQ836" s="129"/>
      <c r="AS836" s="130"/>
      <c r="AT836" s="128"/>
      <c r="AU836" s="129"/>
      <c r="AW836" s="130"/>
      <c r="AX836" s="85"/>
      <c r="AY836" s="84"/>
      <c r="AZ836" s="84"/>
      <c r="BA836" s="131"/>
      <c r="BB836" s="84"/>
      <c r="BE836" s="84"/>
      <c r="BI836" s="86"/>
      <c r="BO836" s="84"/>
      <c r="BT836" s="84"/>
      <c r="BY836" s="84"/>
      <c r="CD836" s="84"/>
      <c r="CI836" s="128"/>
      <c r="CJ836" s="129"/>
      <c r="CL836" s="132"/>
      <c r="CM836" s="128"/>
      <c r="CN836" s="129"/>
      <c r="CP836" s="132"/>
      <c r="CQ836" s="128"/>
      <c r="CR836" s="129"/>
      <c r="CT836" s="132"/>
      <c r="CU836" s="128"/>
      <c r="CV836" s="129"/>
      <c r="CX836" s="132"/>
      <c r="CY836" s="128"/>
      <c r="CZ836" s="129"/>
      <c r="DB836" s="132"/>
      <c r="DC836" s="128"/>
      <c r="DD836" s="129"/>
      <c r="DF836" s="132"/>
      <c r="DG836" s="85"/>
      <c r="DH836" s="85"/>
      <c r="DI836" s="84"/>
      <c r="DK836" s="84"/>
      <c r="DP836" s="84"/>
      <c r="DU836" s="84"/>
      <c r="DY836" s="84"/>
      <c r="EC836" s="84"/>
      <c r="EG836" s="84"/>
      <c r="EK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128"/>
      <c r="AA837" s="129"/>
      <c r="AC837" s="130"/>
      <c r="AD837" s="128"/>
      <c r="AE837" s="129"/>
      <c r="AG837" s="130"/>
      <c r="AH837" s="128"/>
      <c r="AI837" s="129"/>
      <c r="AK837" s="130"/>
      <c r="AL837" s="128"/>
      <c r="AM837" s="129"/>
      <c r="AO837" s="130"/>
      <c r="AP837" s="128"/>
      <c r="AQ837" s="129"/>
      <c r="AS837" s="130"/>
      <c r="AT837" s="128"/>
      <c r="AU837" s="129"/>
      <c r="AW837" s="130"/>
      <c r="AX837" s="85"/>
      <c r="AY837" s="84"/>
      <c r="AZ837" s="84"/>
      <c r="BA837" s="131"/>
      <c r="BB837" s="84"/>
      <c r="BE837" s="84"/>
      <c r="BI837" s="86"/>
      <c r="BO837" s="84"/>
      <c r="BT837" s="84"/>
      <c r="BY837" s="84"/>
      <c r="CD837" s="84"/>
      <c r="CI837" s="128"/>
      <c r="CJ837" s="129"/>
      <c r="CL837" s="132"/>
      <c r="CM837" s="128"/>
      <c r="CN837" s="129"/>
      <c r="CP837" s="132"/>
      <c r="CQ837" s="128"/>
      <c r="CR837" s="129"/>
      <c r="CT837" s="132"/>
      <c r="CU837" s="128"/>
      <c r="CV837" s="129"/>
      <c r="CX837" s="132"/>
      <c r="CY837" s="128"/>
      <c r="CZ837" s="129"/>
      <c r="DB837" s="132"/>
      <c r="DC837" s="128"/>
      <c r="DD837" s="129"/>
      <c r="DF837" s="132"/>
      <c r="DG837" s="85"/>
      <c r="DH837" s="85"/>
      <c r="DI837" s="84"/>
      <c r="DK837" s="84"/>
      <c r="DP837" s="84"/>
      <c r="DU837" s="84"/>
      <c r="DY837" s="84"/>
      <c r="EC837" s="84"/>
      <c r="EG837" s="84"/>
      <c r="EK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128"/>
      <c r="AA838" s="129"/>
      <c r="AC838" s="130"/>
      <c r="AD838" s="128"/>
      <c r="AE838" s="129"/>
      <c r="AG838" s="130"/>
      <c r="AH838" s="128"/>
      <c r="AI838" s="129"/>
      <c r="AK838" s="130"/>
      <c r="AL838" s="128"/>
      <c r="AM838" s="129"/>
      <c r="AO838" s="130"/>
      <c r="AP838" s="128"/>
      <c r="AQ838" s="129"/>
      <c r="AS838" s="130"/>
      <c r="AT838" s="128"/>
      <c r="AU838" s="129"/>
      <c r="AW838" s="130"/>
      <c r="AX838" s="85"/>
      <c r="AY838" s="84"/>
      <c r="AZ838" s="84"/>
      <c r="BA838" s="131"/>
      <c r="BB838" s="84"/>
      <c r="BE838" s="84"/>
      <c r="BI838" s="86"/>
      <c r="BO838" s="84"/>
      <c r="BT838" s="84"/>
      <c r="BY838" s="84"/>
      <c r="CD838" s="84"/>
      <c r="CI838" s="128"/>
      <c r="CJ838" s="129"/>
      <c r="CL838" s="132"/>
      <c r="CM838" s="128"/>
      <c r="CN838" s="129"/>
      <c r="CP838" s="132"/>
      <c r="CQ838" s="128"/>
      <c r="CR838" s="129"/>
      <c r="CT838" s="132"/>
      <c r="CU838" s="128"/>
      <c r="CV838" s="129"/>
      <c r="CX838" s="132"/>
      <c r="CY838" s="128"/>
      <c r="CZ838" s="129"/>
      <c r="DB838" s="132"/>
      <c r="DC838" s="128"/>
      <c r="DD838" s="129"/>
      <c r="DF838" s="132"/>
      <c r="DG838" s="85"/>
      <c r="DH838" s="85"/>
      <c r="DI838" s="84"/>
      <c r="DK838" s="84"/>
      <c r="DP838" s="84"/>
      <c r="DU838" s="84"/>
      <c r="DY838" s="84"/>
      <c r="EC838" s="84"/>
      <c r="EG838" s="84"/>
      <c r="EK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128"/>
      <c r="AA839" s="129"/>
      <c r="AC839" s="130"/>
      <c r="AD839" s="128"/>
      <c r="AE839" s="129"/>
      <c r="AG839" s="130"/>
      <c r="AH839" s="128"/>
      <c r="AI839" s="129"/>
      <c r="AK839" s="130"/>
      <c r="AL839" s="128"/>
      <c r="AM839" s="129"/>
      <c r="AO839" s="130"/>
      <c r="AP839" s="128"/>
      <c r="AQ839" s="129"/>
      <c r="AS839" s="130"/>
      <c r="AT839" s="128"/>
      <c r="AU839" s="129"/>
      <c r="AW839" s="130"/>
      <c r="AX839" s="85"/>
      <c r="AY839" s="84"/>
      <c r="AZ839" s="84"/>
      <c r="BA839" s="131"/>
      <c r="BB839" s="84"/>
      <c r="BE839" s="84"/>
      <c r="BI839" s="86"/>
      <c r="BO839" s="84"/>
      <c r="BT839" s="84"/>
      <c r="BY839" s="84"/>
      <c r="CD839" s="84"/>
      <c r="CI839" s="128"/>
      <c r="CJ839" s="129"/>
      <c r="CL839" s="132"/>
      <c r="CM839" s="128"/>
      <c r="CN839" s="129"/>
      <c r="CP839" s="132"/>
      <c r="CQ839" s="128"/>
      <c r="CR839" s="129"/>
      <c r="CT839" s="132"/>
      <c r="CU839" s="128"/>
      <c r="CV839" s="129"/>
      <c r="CX839" s="132"/>
      <c r="CY839" s="128"/>
      <c r="CZ839" s="129"/>
      <c r="DB839" s="132"/>
      <c r="DC839" s="128"/>
      <c r="DD839" s="129"/>
      <c r="DF839" s="132"/>
      <c r="DG839" s="85"/>
      <c r="DH839" s="85"/>
      <c r="DI839" s="84"/>
      <c r="DK839" s="84"/>
      <c r="DP839" s="84"/>
      <c r="DU839" s="84"/>
      <c r="DY839" s="84"/>
      <c r="EC839" s="84"/>
      <c r="EG839" s="84"/>
      <c r="EK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128"/>
      <c r="AA840" s="129"/>
      <c r="AC840" s="130"/>
      <c r="AD840" s="128"/>
      <c r="AE840" s="129"/>
      <c r="AG840" s="130"/>
      <c r="AH840" s="128"/>
      <c r="AI840" s="129"/>
      <c r="AK840" s="130"/>
      <c r="AL840" s="128"/>
      <c r="AM840" s="129"/>
      <c r="AO840" s="130"/>
      <c r="AP840" s="128"/>
      <c r="AQ840" s="129"/>
      <c r="AS840" s="130"/>
      <c r="AT840" s="128"/>
      <c r="AU840" s="129"/>
      <c r="AW840" s="130"/>
      <c r="AX840" s="85"/>
      <c r="AY840" s="84"/>
      <c r="AZ840" s="84"/>
      <c r="BA840" s="131"/>
      <c r="BB840" s="84"/>
      <c r="BE840" s="84"/>
      <c r="BI840" s="86"/>
      <c r="BO840" s="84"/>
      <c r="BT840" s="84"/>
      <c r="BY840" s="84"/>
      <c r="CD840" s="84"/>
      <c r="CI840" s="128"/>
      <c r="CJ840" s="129"/>
      <c r="CL840" s="132"/>
      <c r="CM840" s="128"/>
      <c r="CN840" s="129"/>
      <c r="CP840" s="132"/>
      <c r="CQ840" s="128"/>
      <c r="CR840" s="129"/>
      <c r="CT840" s="132"/>
      <c r="CU840" s="128"/>
      <c r="CV840" s="129"/>
      <c r="CX840" s="132"/>
      <c r="CY840" s="128"/>
      <c r="CZ840" s="129"/>
      <c r="DB840" s="132"/>
      <c r="DC840" s="128"/>
      <c r="DD840" s="129"/>
      <c r="DF840" s="132"/>
      <c r="DG840" s="85"/>
      <c r="DH840" s="85"/>
      <c r="DI840" s="84"/>
      <c r="DK840" s="84"/>
      <c r="DP840" s="84"/>
      <c r="DU840" s="84"/>
      <c r="DY840" s="84"/>
      <c r="EC840" s="84"/>
      <c r="EG840" s="84"/>
      <c r="EK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128"/>
      <c r="AA841" s="129"/>
      <c r="AC841" s="130"/>
      <c r="AD841" s="128"/>
      <c r="AE841" s="129"/>
      <c r="AG841" s="130"/>
      <c r="AH841" s="128"/>
      <c r="AI841" s="129"/>
      <c r="AK841" s="130"/>
      <c r="AL841" s="128"/>
      <c r="AM841" s="129"/>
      <c r="AO841" s="130"/>
      <c r="AP841" s="128"/>
      <c r="AQ841" s="129"/>
      <c r="AS841" s="130"/>
      <c r="AT841" s="128"/>
      <c r="AU841" s="129"/>
      <c r="AW841" s="130"/>
      <c r="AX841" s="85"/>
      <c r="AY841" s="84"/>
      <c r="AZ841" s="84"/>
      <c r="BA841" s="131"/>
      <c r="BB841" s="84"/>
      <c r="BE841" s="84"/>
      <c r="BI841" s="86"/>
      <c r="BO841" s="84"/>
      <c r="BT841" s="84"/>
      <c r="BY841" s="84"/>
      <c r="CD841" s="84"/>
      <c r="CI841" s="128"/>
      <c r="CJ841" s="129"/>
      <c r="CL841" s="132"/>
      <c r="CM841" s="128"/>
      <c r="CN841" s="129"/>
      <c r="CP841" s="132"/>
      <c r="CQ841" s="128"/>
      <c r="CR841" s="129"/>
      <c r="CT841" s="132"/>
      <c r="CU841" s="128"/>
      <c r="CV841" s="129"/>
      <c r="CX841" s="132"/>
      <c r="CY841" s="128"/>
      <c r="CZ841" s="129"/>
      <c r="DB841" s="132"/>
      <c r="DC841" s="128"/>
      <c r="DD841" s="129"/>
      <c r="DF841" s="132"/>
      <c r="DG841" s="85"/>
      <c r="DH841" s="85"/>
      <c r="DI841" s="84"/>
      <c r="DK841" s="84"/>
      <c r="DP841" s="84"/>
      <c r="DU841" s="84"/>
      <c r="DY841" s="84"/>
      <c r="EC841" s="84"/>
      <c r="EG841" s="84"/>
      <c r="EK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128"/>
      <c r="AA842" s="129"/>
      <c r="AC842" s="130"/>
      <c r="AD842" s="128"/>
      <c r="AE842" s="129"/>
      <c r="AG842" s="130"/>
      <c r="AH842" s="128"/>
      <c r="AI842" s="129"/>
      <c r="AK842" s="130"/>
      <c r="AL842" s="128"/>
      <c r="AM842" s="129"/>
      <c r="AO842" s="130"/>
      <c r="AP842" s="128"/>
      <c r="AQ842" s="129"/>
      <c r="AS842" s="130"/>
      <c r="AT842" s="128"/>
      <c r="AU842" s="129"/>
      <c r="AW842" s="130"/>
      <c r="AX842" s="85"/>
      <c r="AY842" s="84"/>
      <c r="AZ842" s="84"/>
      <c r="BA842" s="131"/>
      <c r="BB842" s="84"/>
      <c r="BE842" s="84"/>
      <c r="BI842" s="86"/>
      <c r="BO842" s="84"/>
      <c r="BT842" s="84"/>
      <c r="BY842" s="84"/>
      <c r="CD842" s="84"/>
      <c r="CI842" s="128"/>
      <c r="CJ842" s="129"/>
      <c r="CL842" s="132"/>
      <c r="CM842" s="128"/>
      <c r="CN842" s="129"/>
      <c r="CP842" s="132"/>
      <c r="CQ842" s="128"/>
      <c r="CR842" s="129"/>
      <c r="CT842" s="132"/>
      <c r="CU842" s="128"/>
      <c r="CV842" s="129"/>
      <c r="CX842" s="132"/>
      <c r="CY842" s="128"/>
      <c r="CZ842" s="129"/>
      <c r="DB842" s="132"/>
      <c r="DC842" s="128"/>
      <c r="DD842" s="129"/>
      <c r="DF842" s="132"/>
      <c r="DG842" s="85"/>
      <c r="DH842" s="85"/>
      <c r="DI842" s="84"/>
      <c r="DK842" s="84"/>
      <c r="DP842" s="84"/>
      <c r="DU842" s="84"/>
      <c r="DY842" s="84"/>
      <c r="EC842" s="84"/>
      <c r="EG842" s="84"/>
      <c r="EK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128"/>
      <c r="AA843" s="129"/>
      <c r="AC843" s="130"/>
      <c r="AD843" s="128"/>
      <c r="AE843" s="129"/>
      <c r="AG843" s="130"/>
      <c r="AH843" s="128"/>
      <c r="AI843" s="129"/>
      <c r="AK843" s="130"/>
      <c r="AL843" s="128"/>
      <c r="AM843" s="129"/>
      <c r="AO843" s="130"/>
      <c r="AP843" s="128"/>
      <c r="AQ843" s="129"/>
      <c r="AS843" s="130"/>
      <c r="AT843" s="128"/>
      <c r="AU843" s="129"/>
      <c r="AW843" s="130"/>
      <c r="AX843" s="85"/>
      <c r="AY843" s="84"/>
      <c r="AZ843" s="84"/>
      <c r="BA843" s="131"/>
      <c r="BB843" s="84"/>
      <c r="BE843" s="84"/>
      <c r="BI843" s="86"/>
      <c r="BO843" s="84"/>
      <c r="BT843" s="84"/>
      <c r="BY843" s="84"/>
      <c r="CD843" s="84"/>
      <c r="CI843" s="128"/>
      <c r="CJ843" s="129"/>
      <c r="CL843" s="132"/>
      <c r="CM843" s="128"/>
      <c r="CN843" s="129"/>
      <c r="CP843" s="132"/>
      <c r="CQ843" s="128"/>
      <c r="CR843" s="129"/>
      <c r="CT843" s="132"/>
      <c r="CU843" s="128"/>
      <c r="CV843" s="129"/>
      <c r="CX843" s="132"/>
      <c r="CY843" s="128"/>
      <c r="CZ843" s="129"/>
      <c r="DB843" s="132"/>
      <c r="DC843" s="128"/>
      <c r="DD843" s="129"/>
      <c r="DF843" s="132"/>
      <c r="DG843" s="85"/>
      <c r="DH843" s="85"/>
      <c r="DI843" s="84"/>
      <c r="DK843" s="84"/>
      <c r="DP843" s="84"/>
      <c r="DU843" s="84"/>
      <c r="DY843" s="84"/>
      <c r="EC843" s="84"/>
      <c r="EG843" s="84"/>
      <c r="EK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128"/>
      <c r="AA844" s="129"/>
      <c r="AC844" s="130"/>
      <c r="AD844" s="128"/>
      <c r="AE844" s="129"/>
      <c r="AG844" s="130"/>
      <c r="AH844" s="128"/>
      <c r="AI844" s="129"/>
      <c r="AK844" s="130"/>
      <c r="AL844" s="128"/>
      <c r="AM844" s="129"/>
      <c r="AO844" s="130"/>
      <c r="AP844" s="128"/>
      <c r="AQ844" s="129"/>
      <c r="AS844" s="130"/>
      <c r="AT844" s="128"/>
      <c r="AU844" s="129"/>
      <c r="AW844" s="130"/>
      <c r="AX844" s="85"/>
      <c r="AY844" s="84"/>
      <c r="AZ844" s="84"/>
      <c r="BA844" s="131"/>
      <c r="BB844" s="84"/>
      <c r="BE844" s="84"/>
      <c r="BI844" s="86"/>
      <c r="BO844" s="84"/>
      <c r="BT844" s="84"/>
      <c r="BY844" s="84"/>
      <c r="CD844" s="84"/>
      <c r="CI844" s="128"/>
      <c r="CJ844" s="129"/>
      <c r="CL844" s="132"/>
      <c r="CM844" s="128"/>
      <c r="CN844" s="129"/>
      <c r="CP844" s="132"/>
      <c r="CQ844" s="128"/>
      <c r="CR844" s="129"/>
      <c r="CT844" s="132"/>
      <c r="CU844" s="128"/>
      <c r="CV844" s="129"/>
      <c r="CX844" s="132"/>
      <c r="CY844" s="128"/>
      <c r="CZ844" s="129"/>
      <c r="DB844" s="132"/>
      <c r="DC844" s="128"/>
      <c r="DD844" s="129"/>
      <c r="DF844" s="132"/>
      <c r="DG844" s="85"/>
      <c r="DH844" s="85"/>
      <c r="DI844" s="84"/>
      <c r="DK844" s="84"/>
      <c r="DP844" s="84"/>
      <c r="DU844" s="84"/>
      <c r="DY844" s="84"/>
      <c r="EC844" s="84"/>
      <c r="EG844" s="84"/>
      <c r="EK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128"/>
      <c r="AA845" s="129"/>
      <c r="AC845" s="130"/>
      <c r="AD845" s="128"/>
      <c r="AE845" s="129"/>
      <c r="AG845" s="130"/>
      <c r="AH845" s="128"/>
      <c r="AI845" s="129"/>
      <c r="AK845" s="130"/>
      <c r="AL845" s="128"/>
      <c r="AM845" s="129"/>
      <c r="AO845" s="130"/>
      <c r="AP845" s="128"/>
      <c r="AQ845" s="129"/>
      <c r="AS845" s="130"/>
      <c r="AT845" s="128"/>
      <c r="AU845" s="129"/>
      <c r="AW845" s="130"/>
      <c r="AX845" s="85"/>
      <c r="AY845" s="84"/>
      <c r="AZ845" s="84"/>
      <c r="BA845" s="131"/>
      <c r="BB845" s="84"/>
      <c r="BE845" s="84"/>
      <c r="BI845" s="86"/>
      <c r="BO845" s="84"/>
      <c r="BT845" s="84"/>
      <c r="BY845" s="84"/>
      <c r="CD845" s="84"/>
      <c r="CI845" s="128"/>
      <c r="CJ845" s="129"/>
      <c r="CL845" s="132"/>
      <c r="CM845" s="128"/>
      <c r="CN845" s="129"/>
      <c r="CP845" s="132"/>
      <c r="CQ845" s="128"/>
      <c r="CR845" s="129"/>
      <c r="CT845" s="132"/>
      <c r="CU845" s="128"/>
      <c r="CV845" s="129"/>
      <c r="CX845" s="132"/>
      <c r="CY845" s="128"/>
      <c r="CZ845" s="129"/>
      <c r="DB845" s="132"/>
      <c r="DC845" s="128"/>
      <c r="DD845" s="129"/>
      <c r="DF845" s="132"/>
      <c r="DG845" s="85"/>
      <c r="DH845" s="85"/>
      <c r="DI845" s="84"/>
      <c r="DK845" s="84"/>
      <c r="DP845" s="84"/>
      <c r="DU845" s="84"/>
      <c r="DY845" s="84"/>
      <c r="EC845" s="84"/>
      <c r="EG845" s="84"/>
      <c r="EK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128"/>
      <c r="AA846" s="129"/>
      <c r="AC846" s="130"/>
      <c r="AD846" s="128"/>
      <c r="AE846" s="129"/>
      <c r="AG846" s="130"/>
      <c r="AH846" s="128"/>
      <c r="AI846" s="129"/>
      <c r="AK846" s="130"/>
      <c r="AL846" s="128"/>
      <c r="AM846" s="129"/>
      <c r="AO846" s="130"/>
      <c r="AP846" s="128"/>
      <c r="AQ846" s="129"/>
      <c r="AS846" s="130"/>
      <c r="AT846" s="128"/>
      <c r="AU846" s="129"/>
      <c r="AW846" s="130"/>
      <c r="AX846" s="85"/>
      <c r="AY846" s="84"/>
      <c r="AZ846" s="84"/>
      <c r="BA846" s="131"/>
      <c r="BB846" s="84"/>
      <c r="BE846" s="84"/>
      <c r="BI846" s="86"/>
      <c r="BO846" s="84"/>
      <c r="BT846" s="84"/>
      <c r="BY846" s="84"/>
      <c r="CD846" s="84"/>
      <c r="CI846" s="128"/>
      <c r="CJ846" s="129"/>
      <c r="CL846" s="132"/>
      <c r="CM846" s="128"/>
      <c r="CN846" s="129"/>
      <c r="CP846" s="132"/>
      <c r="CQ846" s="128"/>
      <c r="CR846" s="129"/>
      <c r="CT846" s="132"/>
      <c r="CU846" s="128"/>
      <c r="CV846" s="129"/>
      <c r="CX846" s="132"/>
      <c r="CY846" s="128"/>
      <c r="CZ846" s="129"/>
      <c r="DB846" s="132"/>
      <c r="DC846" s="128"/>
      <c r="DD846" s="129"/>
      <c r="DF846" s="132"/>
      <c r="DG846" s="85"/>
      <c r="DH846" s="85"/>
      <c r="DI846" s="84"/>
      <c r="DK846" s="84"/>
      <c r="DP846" s="84"/>
      <c r="DU846" s="84"/>
      <c r="DY846" s="84"/>
      <c r="EC846" s="84"/>
      <c r="EG846" s="84"/>
      <c r="EK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128"/>
      <c r="AA847" s="129"/>
      <c r="AC847" s="130"/>
      <c r="AD847" s="128"/>
      <c r="AE847" s="129"/>
      <c r="AG847" s="130"/>
      <c r="AH847" s="128"/>
      <c r="AI847" s="129"/>
      <c r="AK847" s="130"/>
      <c r="AL847" s="128"/>
      <c r="AM847" s="129"/>
      <c r="AO847" s="130"/>
      <c r="AP847" s="128"/>
      <c r="AQ847" s="129"/>
      <c r="AS847" s="130"/>
      <c r="AT847" s="128"/>
      <c r="AU847" s="129"/>
      <c r="AW847" s="130"/>
      <c r="AX847" s="85"/>
      <c r="AY847" s="84"/>
      <c r="AZ847" s="84"/>
      <c r="BA847" s="131"/>
      <c r="BB847" s="84"/>
      <c r="BE847" s="84"/>
      <c r="BI847" s="86"/>
      <c r="BO847" s="84"/>
      <c r="BT847" s="84"/>
      <c r="BY847" s="84"/>
      <c r="CD847" s="84"/>
      <c r="CI847" s="128"/>
      <c r="CJ847" s="129"/>
      <c r="CL847" s="132"/>
      <c r="CM847" s="128"/>
      <c r="CN847" s="129"/>
      <c r="CP847" s="132"/>
      <c r="CQ847" s="128"/>
      <c r="CR847" s="129"/>
      <c r="CT847" s="132"/>
      <c r="CU847" s="128"/>
      <c r="CV847" s="129"/>
      <c r="CX847" s="132"/>
      <c r="CY847" s="128"/>
      <c r="CZ847" s="129"/>
      <c r="DB847" s="132"/>
      <c r="DC847" s="128"/>
      <c r="DD847" s="129"/>
      <c r="DF847" s="132"/>
      <c r="DG847" s="85"/>
      <c r="DH847" s="85"/>
      <c r="DI847" s="84"/>
      <c r="DK847" s="84"/>
      <c r="DP847" s="84"/>
      <c r="DU847" s="84"/>
      <c r="DY847" s="84"/>
      <c r="EC847" s="84"/>
      <c r="EG847" s="84"/>
      <c r="EK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128"/>
      <c r="AA848" s="129"/>
      <c r="AC848" s="130"/>
      <c r="AD848" s="128"/>
      <c r="AE848" s="129"/>
      <c r="AG848" s="130"/>
      <c r="AH848" s="128"/>
      <c r="AI848" s="129"/>
      <c r="AK848" s="130"/>
      <c r="AL848" s="128"/>
      <c r="AM848" s="129"/>
      <c r="AO848" s="130"/>
      <c r="AP848" s="128"/>
      <c r="AQ848" s="129"/>
      <c r="AS848" s="130"/>
      <c r="AT848" s="128"/>
      <c r="AU848" s="129"/>
      <c r="AW848" s="130"/>
      <c r="AX848" s="85"/>
      <c r="AY848" s="84"/>
      <c r="AZ848" s="84"/>
      <c r="BA848" s="131"/>
      <c r="BB848" s="84"/>
      <c r="BE848" s="84"/>
      <c r="BI848" s="86"/>
      <c r="BO848" s="84"/>
      <c r="BT848" s="84"/>
      <c r="BY848" s="84"/>
      <c r="CD848" s="84"/>
      <c r="CI848" s="128"/>
      <c r="CJ848" s="129"/>
      <c r="CL848" s="132"/>
      <c r="CM848" s="128"/>
      <c r="CN848" s="129"/>
      <c r="CP848" s="132"/>
      <c r="CQ848" s="128"/>
      <c r="CR848" s="129"/>
      <c r="CT848" s="132"/>
      <c r="CU848" s="128"/>
      <c r="CV848" s="129"/>
      <c r="CX848" s="132"/>
      <c r="CY848" s="128"/>
      <c r="CZ848" s="129"/>
      <c r="DB848" s="132"/>
      <c r="DC848" s="128"/>
      <c r="DD848" s="129"/>
      <c r="DF848" s="132"/>
      <c r="DG848" s="85"/>
      <c r="DH848" s="85"/>
      <c r="DI848" s="84"/>
      <c r="DK848" s="84"/>
      <c r="DP848" s="84"/>
      <c r="DU848" s="84"/>
      <c r="DY848" s="84"/>
      <c r="EC848" s="84"/>
      <c r="EG848" s="84"/>
      <c r="EK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128"/>
      <c r="AA849" s="129"/>
      <c r="AC849" s="130"/>
      <c r="AD849" s="128"/>
      <c r="AE849" s="129"/>
      <c r="AG849" s="130"/>
      <c r="AH849" s="128"/>
      <c r="AI849" s="129"/>
      <c r="AK849" s="130"/>
      <c r="AL849" s="128"/>
      <c r="AM849" s="129"/>
      <c r="AO849" s="130"/>
      <c r="AP849" s="128"/>
      <c r="AQ849" s="129"/>
      <c r="AS849" s="130"/>
      <c r="AT849" s="128"/>
      <c r="AU849" s="129"/>
      <c r="AW849" s="130"/>
      <c r="AX849" s="85"/>
      <c r="AY849" s="84"/>
      <c r="AZ849" s="84"/>
      <c r="BA849" s="131"/>
      <c r="BB849" s="84"/>
      <c r="BE849" s="84"/>
      <c r="BI849" s="86"/>
      <c r="BO849" s="84"/>
      <c r="BT849" s="84"/>
      <c r="BY849" s="84"/>
      <c r="CD849" s="84"/>
      <c r="CI849" s="128"/>
      <c r="CJ849" s="129"/>
      <c r="CL849" s="132"/>
      <c r="CM849" s="128"/>
      <c r="CN849" s="129"/>
      <c r="CP849" s="132"/>
      <c r="CQ849" s="128"/>
      <c r="CR849" s="129"/>
      <c r="CT849" s="132"/>
      <c r="CU849" s="128"/>
      <c r="CV849" s="129"/>
      <c r="CX849" s="132"/>
      <c r="CY849" s="128"/>
      <c r="CZ849" s="129"/>
      <c r="DB849" s="132"/>
      <c r="DC849" s="128"/>
      <c r="DD849" s="129"/>
      <c r="DF849" s="132"/>
      <c r="DG849" s="85"/>
      <c r="DH849" s="85"/>
      <c r="DI849" s="84"/>
      <c r="DK849" s="84"/>
      <c r="DP849" s="84"/>
      <c r="DU849" s="84"/>
      <c r="DY849" s="84"/>
      <c r="EC849" s="84"/>
      <c r="EG849" s="84"/>
      <c r="EK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128"/>
      <c r="AA850" s="129"/>
      <c r="AC850" s="130"/>
      <c r="AD850" s="128"/>
      <c r="AE850" s="129"/>
      <c r="AG850" s="130"/>
      <c r="AH850" s="128"/>
      <c r="AI850" s="129"/>
      <c r="AK850" s="130"/>
      <c r="AL850" s="128"/>
      <c r="AM850" s="129"/>
      <c r="AO850" s="130"/>
      <c r="AP850" s="128"/>
      <c r="AQ850" s="129"/>
      <c r="AS850" s="130"/>
      <c r="AT850" s="128"/>
      <c r="AU850" s="129"/>
      <c r="AW850" s="130"/>
      <c r="AX850" s="85"/>
      <c r="AY850" s="84"/>
      <c r="AZ850" s="84"/>
      <c r="BA850" s="131"/>
      <c r="BB850" s="84"/>
      <c r="BE850" s="84"/>
      <c r="BI850" s="86"/>
      <c r="BO850" s="84"/>
      <c r="BT850" s="84"/>
      <c r="BY850" s="84"/>
      <c r="CD850" s="84"/>
      <c r="CI850" s="128"/>
      <c r="CJ850" s="129"/>
      <c r="CL850" s="132"/>
      <c r="CM850" s="128"/>
      <c r="CN850" s="129"/>
      <c r="CP850" s="132"/>
      <c r="CQ850" s="128"/>
      <c r="CR850" s="129"/>
      <c r="CT850" s="132"/>
      <c r="CU850" s="128"/>
      <c r="CV850" s="129"/>
      <c r="CX850" s="132"/>
      <c r="CY850" s="128"/>
      <c r="CZ850" s="129"/>
      <c r="DB850" s="132"/>
      <c r="DC850" s="128"/>
      <c r="DD850" s="129"/>
      <c r="DF850" s="132"/>
      <c r="DG850" s="85"/>
      <c r="DH850" s="85"/>
      <c r="DI850" s="84"/>
      <c r="DK850" s="84"/>
      <c r="DP850" s="84"/>
      <c r="DU850" s="84"/>
      <c r="DY850" s="84"/>
      <c r="EC850" s="84"/>
      <c r="EG850" s="84"/>
      <c r="EK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128"/>
      <c r="AA851" s="129"/>
      <c r="AC851" s="130"/>
      <c r="AD851" s="128"/>
      <c r="AE851" s="129"/>
      <c r="AG851" s="130"/>
      <c r="AH851" s="128"/>
      <c r="AI851" s="129"/>
      <c r="AK851" s="130"/>
      <c r="AL851" s="128"/>
      <c r="AM851" s="129"/>
      <c r="AO851" s="130"/>
      <c r="AP851" s="128"/>
      <c r="AQ851" s="129"/>
      <c r="AS851" s="130"/>
      <c r="AT851" s="128"/>
      <c r="AU851" s="129"/>
      <c r="AW851" s="130"/>
      <c r="AX851" s="85"/>
      <c r="AY851" s="84"/>
      <c r="AZ851" s="84"/>
      <c r="BA851" s="131"/>
      <c r="BB851" s="84"/>
      <c r="BE851" s="84"/>
      <c r="BI851" s="86"/>
      <c r="BO851" s="84"/>
      <c r="BT851" s="84"/>
      <c r="BY851" s="84"/>
      <c r="CD851" s="84"/>
      <c r="CI851" s="128"/>
      <c r="CJ851" s="129"/>
      <c r="CL851" s="132"/>
      <c r="CM851" s="128"/>
      <c r="CN851" s="129"/>
      <c r="CP851" s="132"/>
      <c r="CQ851" s="128"/>
      <c r="CR851" s="129"/>
      <c r="CT851" s="132"/>
      <c r="CU851" s="128"/>
      <c r="CV851" s="129"/>
      <c r="CX851" s="132"/>
      <c r="CY851" s="128"/>
      <c r="CZ851" s="129"/>
      <c r="DB851" s="132"/>
      <c r="DC851" s="128"/>
      <c r="DD851" s="129"/>
      <c r="DF851" s="132"/>
      <c r="DG851" s="85"/>
      <c r="DH851" s="85"/>
      <c r="DI851" s="84"/>
      <c r="DK851" s="84"/>
      <c r="DP851" s="84"/>
      <c r="DU851" s="84"/>
      <c r="DY851" s="84"/>
      <c r="EC851" s="84"/>
      <c r="EG851" s="84"/>
      <c r="EK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128"/>
      <c r="AA852" s="129"/>
      <c r="AC852" s="130"/>
      <c r="AD852" s="128"/>
      <c r="AE852" s="129"/>
      <c r="AG852" s="130"/>
      <c r="AH852" s="128"/>
      <c r="AI852" s="129"/>
      <c r="AK852" s="130"/>
      <c r="AL852" s="128"/>
      <c r="AM852" s="129"/>
      <c r="AO852" s="130"/>
      <c r="AP852" s="128"/>
      <c r="AQ852" s="129"/>
      <c r="AS852" s="130"/>
      <c r="AT852" s="128"/>
      <c r="AU852" s="129"/>
      <c r="AW852" s="130"/>
      <c r="AX852" s="85"/>
      <c r="AY852" s="84"/>
      <c r="AZ852" s="84"/>
      <c r="BA852" s="131"/>
      <c r="BB852" s="84"/>
      <c r="BE852" s="84"/>
      <c r="BI852" s="86"/>
      <c r="BO852" s="84"/>
      <c r="BT852" s="84"/>
      <c r="BY852" s="84"/>
      <c r="CD852" s="84"/>
      <c r="CI852" s="128"/>
      <c r="CJ852" s="129"/>
      <c r="CL852" s="132"/>
      <c r="CM852" s="128"/>
      <c r="CN852" s="129"/>
      <c r="CP852" s="132"/>
      <c r="CQ852" s="128"/>
      <c r="CR852" s="129"/>
      <c r="CT852" s="132"/>
      <c r="CU852" s="128"/>
      <c r="CV852" s="129"/>
      <c r="CX852" s="132"/>
      <c r="CY852" s="128"/>
      <c r="CZ852" s="129"/>
      <c r="DB852" s="132"/>
      <c r="DC852" s="128"/>
      <c r="DD852" s="129"/>
      <c r="DF852" s="132"/>
      <c r="DG852" s="85"/>
      <c r="DH852" s="85"/>
      <c r="DI852" s="84"/>
      <c r="DK852" s="84"/>
      <c r="DP852" s="84"/>
      <c r="DU852" s="84"/>
      <c r="DY852" s="84"/>
      <c r="EC852" s="84"/>
      <c r="EG852" s="84"/>
      <c r="EK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128"/>
      <c r="AA853" s="129"/>
      <c r="AC853" s="130"/>
      <c r="AD853" s="128"/>
      <c r="AE853" s="129"/>
      <c r="AG853" s="130"/>
      <c r="AH853" s="128"/>
      <c r="AI853" s="129"/>
      <c r="AK853" s="130"/>
      <c r="AL853" s="128"/>
      <c r="AM853" s="129"/>
      <c r="AO853" s="130"/>
      <c r="AP853" s="128"/>
      <c r="AQ853" s="129"/>
      <c r="AS853" s="130"/>
      <c r="AT853" s="128"/>
      <c r="AU853" s="129"/>
      <c r="AW853" s="130"/>
      <c r="AX853" s="85"/>
      <c r="AY853" s="84"/>
      <c r="AZ853" s="84"/>
      <c r="BA853" s="131"/>
      <c r="BB853" s="84"/>
      <c r="BE853" s="84"/>
      <c r="BI853" s="86"/>
      <c r="BO853" s="84"/>
      <c r="BT853" s="84"/>
      <c r="BY853" s="84"/>
      <c r="CD853" s="84"/>
      <c r="CI853" s="128"/>
      <c r="CJ853" s="129"/>
      <c r="CL853" s="132"/>
      <c r="CM853" s="128"/>
      <c r="CN853" s="129"/>
      <c r="CP853" s="132"/>
      <c r="CQ853" s="128"/>
      <c r="CR853" s="129"/>
      <c r="CT853" s="132"/>
      <c r="CU853" s="128"/>
      <c r="CV853" s="129"/>
      <c r="CX853" s="132"/>
      <c r="CY853" s="128"/>
      <c r="CZ853" s="129"/>
      <c r="DB853" s="132"/>
      <c r="DC853" s="128"/>
      <c r="DD853" s="129"/>
      <c r="DF853" s="132"/>
      <c r="DG853" s="85"/>
      <c r="DH853" s="85"/>
      <c r="DI853" s="84"/>
      <c r="DK853" s="84"/>
      <c r="DP853" s="84"/>
      <c r="DU853" s="84"/>
      <c r="DY853" s="84"/>
      <c r="EC853" s="84"/>
      <c r="EG853" s="84"/>
      <c r="EK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128"/>
      <c r="AA854" s="129"/>
      <c r="AC854" s="130"/>
      <c r="AD854" s="128"/>
      <c r="AE854" s="129"/>
      <c r="AG854" s="130"/>
      <c r="AH854" s="128"/>
      <c r="AI854" s="129"/>
      <c r="AK854" s="130"/>
      <c r="AL854" s="128"/>
      <c r="AM854" s="129"/>
      <c r="AO854" s="130"/>
      <c r="AP854" s="128"/>
      <c r="AQ854" s="129"/>
      <c r="AS854" s="130"/>
      <c r="AT854" s="128"/>
      <c r="AU854" s="129"/>
      <c r="AW854" s="130"/>
      <c r="AX854" s="85"/>
      <c r="AY854" s="84"/>
      <c r="AZ854" s="84"/>
      <c r="BA854" s="131"/>
      <c r="BB854" s="84"/>
      <c r="BE854" s="84"/>
      <c r="BI854" s="86"/>
      <c r="BO854" s="84"/>
      <c r="BT854" s="84"/>
      <c r="BY854" s="84"/>
      <c r="CD854" s="84"/>
      <c r="CI854" s="128"/>
      <c r="CJ854" s="129"/>
      <c r="CL854" s="132"/>
      <c r="CM854" s="128"/>
      <c r="CN854" s="129"/>
      <c r="CP854" s="132"/>
      <c r="CQ854" s="128"/>
      <c r="CR854" s="129"/>
      <c r="CT854" s="132"/>
      <c r="CU854" s="128"/>
      <c r="CV854" s="129"/>
      <c r="CX854" s="132"/>
      <c r="CY854" s="128"/>
      <c r="CZ854" s="129"/>
      <c r="DB854" s="132"/>
      <c r="DC854" s="128"/>
      <c r="DD854" s="129"/>
      <c r="DF854" s="132"/>
      <c r="DG854" s="85"/>
      <c r="DH854" s="85"/>
      <c r="DI854" s="84"/>
      <c r="DK854" s="84"/>
      <c r="DP854" s="84"/>
      <c r="DU854" s="84"/>
      <c r="DY854" s="84"/>
      <c r="EC854" s="84"/>
      <c r="EG854" s="84"/>
      <c r="EK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128"/>
      <c r="AA855" s="129"/>
      <c r="AC855" s="130"/>
      <c r="AD855" s="128"/>
      <c r="AE855" s="129"/>
      <c r="AG855" s="130"/>
      <c r="AH855" s="128"/>
      <c r="AI855" s="129"/>
      <c r="AK855" s="130"/>
      <c r="AL855" s="128"/>
      <c r="AM855" s="129"/>
      <c r="AO855" s="130"/>
      <c r="AP855" s="128"/>
      <c r="AQ855" s="129"/>
      <c r="AS855" s="130"/>
      <c r="AT855" s="128"/>
      <c r="AU855" s="129"/>
      <c r="AW855" s="130"/>
      <c r="AX855" s="85"/>
      <c r="AY855" s="84"/>
      <c r="AZ855" s="84"/>
      <c r="BA855" s="131"/>
      <c r="BB855" s="84"/>
      <c r="BE855" s="84"/>
      <c r="BI855" s="86"/>
      <c r="BO855" s="84"/>
      <c r="BT855" s="84"/>
      <c r="BY855" s="84"/>
      <c r="CD855" s="84"/>
      <c r="CI855" s="128"/>
      <c r="CJ855" s="129"/>
      <c r="CL855" s="132"/>
      <c r="CM855" s="128"/>
      <c r="CN855" s="129"/>
      <c r="CP855" s="132"/>
      <c r="CQ855" s="128"/>
      <c r="CR855" s="129"/>
      <c r="CT855" s="132"/>
      <c r="CU855" s="128"/>
      <c r="CV855" s="129"/>
      <c r="CX855" s="132"/>
      <c r="CY855" s="128"/>
      <c r="CZ855" s="129"/>
      <c r="DB855" s="132"/>
      <c r="DC855" s="128"/>
      <c r="DD855" s="129"/>
      <c r="DF855" s="132"/>
      <c r="DG855" s="85"/>
      <c r="DH855" s="85"/>
      <c r="DI855" s="84"/>
      <c r="DK855" s="84"/>
      <c r="DP855" s="84"/>
      <c r="DU855" s="84"/>
      <c r="DY855" s="84"/>
      <c r="EC855" s="84"/>
      <c r="EG855" s="84"/>
      <c r="EK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128"/>
      <c r="AA856" s="129"/>
      <c r="AC856" s="130"/>
      <c r="AD856" s="128"/>
      <c r="AE856" s="129"/>
      <c r="AG856" s="130"/>
      <c r="AH856" s="128"/>
      <c r="AI856" s="129"/>
      <c r="AK856" s="130"/>
      <c r="AL856" s="128"/>
      <c r="AM856" s="129"/>
      <c r="AO856" s="130"/>
      <c r="AP856" s="128"/>
      <c r="AQ856" s="129"/>
      <c r="AS856" s="130"/>
      <c r="AT856" s="128"/>
      <c r="AU856" s="129"/>
      <c r="AW856" s="130"/>
      <c r="AX856" s="85"/>
      <c r="AY856" s="84"/>
      <c r="AZ856" s="84"/>
      <c r="BA856" s="131"/>
      <c r="BB856" s="84"/>
      <c r="BE856" s="84"/>
      <c r="BI856" s="86"/>
      <c r="BO856" s="84"/>
      <c r="BT856" s="84"/>
      <c r="BY856" s="84"/>
      <c r="CD856" s="84"/>
      <c r="CI856" s="128"/>
      <c r="CJ856" s="129"/>
      <c r="CL856" s="132"/>
      <c r="CM856" s="128"/>
      <c r="CN856" s="129"/>
      <c r="CP856" s="132"/>
      <c r="CQ856" s="128"/>
      <c r="CR856" s="129"/>
      <c r="CT856" s="132"/>
      <c r="CU856" s="128"/>
      <c r="CV856" s="129"/>
      <c r="CX856" s="132"/>
      <c r="CY856" s="128"/>
      <c r="CZ856" s="129"/>
      <c r="DB856" s="132"/>
      <c r="DC856" s="128"/>
      <c r="DD856" s="129"/>
      <c r="DF856" s="132"/>
      <c r="DG856" s="85"/>
      <c r="DH856" s="85"/>
      <c r="DI856" s="84"/>
      <c r="DK856" s="84"/>
      <c r="DP856" s="84"/>
      <c r="DU856" s="84"/>
      <c r="DY856" s="84"/>
      <c r="EC856" s="84"/>
      <c r="EG856" s="84"/>
      <c r="EK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128"/>
      <c r="AA857" s="129"/>
      <c r="AC857" s="130"/>
      <c r="AD857" s="128"/>
      <c r="AE857" s="129"/>
      <c r="AG857" s="130"/>
      <c r="AH857" s="128"/>
      <c r="AI857" s="129"/>
      <c r="AK857" s="130"/>
      <c r="AL857" s="128"/>
      <c r="AM857" s="129"/>
      <c r="AO857" s="130"/>
      <c r="AP857" s="128"/>
      <c r="AQ857" s="129"/>
      <c r="AS857" s="130"/>
      <c r="AT857" s="128"/>
      <c r="AU857" s="129"/>
      <c r="AW857" s="130"/>
      <c r="AX857" s="85"/>
      <c r="AY857" s="84"/>
      <c r="AZ857" s="84"/>
      <c r="BA857" s="131"/>
      <c r="BB857" s="84"/>
      <c r="BE857" s="84"/>
      <c r="BI857" s="86"/>
      <c r="BO857" s="84"/>
      <c r="BT857" s="84"/>
      <c r="BY857" s="84"/>
      <c r="CD857" s="84"/>
      <c r="CI857" s="128"/>
      <c r="CJ857" s="129"/>
      <c r="CL857" s="132"/>
      <c r="CM857" s="128"/>
      <c r="CN857" s="129"/>
      <c r="CP857" s="132"/>
      <c r="CQ857" s="128"/>
      <c r="CR857" s="129"/>
      <c r="CT857" s="132"/>
      <c r="CU857" s="128"/>
      <c r="CV857" s="129"/>
      <c r="CX857" s="132"/>
      <c r="CY857" s="128"/>
      <c r="CZ857" s="129"/>
      <c r="DB857" s="132"/>
      <c r="DC857" s="128"/>
      <c r="DD857" s="129"/>
      <c r="DF857" s="132"/>
      <c r="DG857" s="85"/>
      <c r="DH857" s="85"/>
      <c r="DI857" s="84"/>
      <c r="DK857" s="84"/>
      <c r="DP857" s="84"/>
      <c r="DU857" s="84"/>
      <c r="DY857" s="84"/>
      <c r="EC857" s="84"/>
      <c r="EG857" s="84"/>
      <c r="EK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128"/>
      <c r="AA858" s="129"/>
      <c r="AC858" s="130"/>
      <c r="AD858" s="128"/>
      <c r="AE858" s="129"/>
      <c r="AG858" s="130"/>
      <c r="AH858" s="128"/>
      <c r="AI858" s="129"/>
      <c r="AK858" s="130"/>
      <c r="AL858" s="128"/>
      <c r="AM858" s="129"/>
      <c r="AO858" s="130"/>
      <c r="AP858" s="128"/>
      <c r="AQ858" s="129"/>
      <c r="AS858" s="130"/>
      <c r="AT858" s="128"/>
      <c r="AU858" s="129"/>
      <c r="AW858" s="130"/>
      <c r="AX858" s="85"/>
      <c r="AY858" s="84"/>
      <c r="AZ858" s="84"/>
      <c r="BA858" s="131"/>
      <c r="BB858" s="84"/>
      <c r="BE858" s="84"/>
      <c r="BI858" s="86"/>
      <c r="BO858" s="84"/>
      <c r="BT858" s="84"/>
      <c r="BY858" s="84"/>
      <c r="CD858" s="84"/>
      <c r="CI858" s="128"/>
      <c r="CJ858" s="129"/>
      <c r="CL858" s="132"/>
      <c r="CM858" s="128"/>
      <c r="CN858" s="129"/>
      <c r="CP858" s="132"/>
      <c r="CQ858" s="128"/>
      <c r="CR858" s="129"/>
      <c r="CT858" s="132"/>
      <c r="CU858" s="128"/>
      <c r="CV858" s="129"/>
      <c r="CX858" s="132"/>
      <c r="CY858" s="128"/>
      <c r="CZ858" s="129"/>
      <c r="DB858" s="132"/>
      <c r="DC858" s="128"/>
      <c r="DD858" s="129"/>
      <c r="DF858" s="132"/>
      <c r="DG858" s="85"/>
      <c r="DH858" s="85"/>
      <c r="DI858" s="84"/>
      <c r="DK858" s="84"/>
      <c r="DP858" s="84"/>
      <c r="DU858" s="84"/>
      <c r="DY858" s="84"/>
      <c r="EC858" s="84"/>
      <c r="EG858" s="84"/>
      <c r="EK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128"/>
      <c r="AA859" s="129"/>
      <c r="AC859" s="130"/>
      <c r="AD859" s="128"/>
      <c r="AE859" s="129"/>
      <c r="AG859" s="130"/>
      <c r="AH859" s="128"/>
      <c r="AI859" s="129"/>
      <c r="AK859" s="130"/>
      <c r="AL859" s="128"/>
      <c r="AM859" s="129"/>
      <c r="AO859" s="130"/>
      <c r="AP859" s="128"/>
      <c r="AQ859" s="129"/>
      <c r="AS859" s="130"/>
      <c r="AT859" s="128"/>
      <c r="AU859" s="129"/>
      <c r="AW859" s="130"/>
      <c r="AX859" s="85"/>
      <c r="AY859" s="84"/>
      <c r="AZ859" s="84"/>
      <c r="BA859" s="131"/>
      <c r="BB859" s="84"/>
      <c r="BE859" s="84"/>
      <c r="BI859" s="86"/>
      <c r="BO859" s="84"/>
      <c r="BT859" s="84"/>
      <c r="BY859" s="84"/>
      <c r="CD859" s="84"/>
      <c r="CI859" s="128"/>
      <c r="CJ859" s="129"/>
      <c r="CL859" s="132"/>
      <c r="CM859" s="128"/>
      <c r="CN859" s="129"/>
      <c r="CP859" s="132"/>
      <c r="CQ859" s="128"/>
      <c r="CR859" s="129"/>
      <c r="CT859" s="132"/>
      <c r="CU859" s="128"/>
      <c r="CV859" s="129"/>
      <c r="CX859" s="132"/>
      <c r="CY859" s="128"/>
      <c r="CZ859" s="129"/>
      <c r="DB859" s="132"/>
      <c r="DC859" s="128"/>
      <c r="DD859" s="129"/>
      <c r="DF859" s="132"/>
      <c r="DG859" s="85"/>
      <c r="DH859" s="85"/>
      <c r="DI859" s="84"/>
      <c r="DK859" s="84"/>
      <c r="DP859" s="84"/>
      <c r="DU859" s="84"/>
      <c r="DY859" s="84"/>
      <c r="EC859" s="84"/>
      <c r="EG859" s="84"/>
      <c r="EK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128"/>
      <c r="AA860" s="129"/>
      <c r="AC860" s="130"/>
      <c r="AD860" s="128"/>
      <c r="AE860" s="129"/>
      <c r="AG860" s="130"/>
      <c r="AH860" s="128"/>
      <c r="AI860" s="129"/>
      <c r="AK860" s="130"/>
      <c r="AL860" s="128"/>
      <c r="AM860" s="129"/>
      <c r="AO860" s="130"/>
      <c r="AP860" s="128"/>
      <c r="AQ860" s="129"/>
      <c r="AS860" s="130"/>
      <c r="AT860" s="128"/>
      <c r="AU860" s="129"/>
      <c r="AW860" s="130"/>
      <c r="AX860" s="85"/>
      <c r="AY860" s="84"/>
      <c r="AZ860" s="84"/>
      <c r="BA860" s="131"/>
      <c r="BB860" s="84"/>
      <c r="BE860" s="84"/>
      <c r="BI860" s="86"/>
      <c r="BO860" s="84"/>
      <c r="BT860" s="84"/>
      <c r="BY860" s="84"/>
      <c r="CD860" s="84"/>
      <c r="CI860" s="128"/>
      <c r="CJ860" s="129"/>
      <c r="CL860" s="132"/>
      <c r="CM860" s="128"/>
      <c r="CN860" s="129"/>
      <c r="CP860" s="132"/>
      <c r="CQ860" s="128"/>
      <c r="CR860" s="129"/>
      <c r="CT860" s="132"/>
      <c r="CU860" s="128"/>
      <c r="CV860" s="129"/>
      <c r="CX860" s="132"/>
      <c r="CY860" s="128"/>
      <c r="CZ860" s="129"/>
      <c r="DB860" s="132"/>
      <c r="DC860" s="128"/>
      <c r="DD860" s="129"/>
      <c r="DF860" s="132"/>
      <c r="DG860" s="85"/>
      <c r="DH860" s="85"/>
      <c r="DI860" s="84"/>
      <c r="DK860" s="84"/>
      <c r="DP860" s="84"/>
      <c r="DU860" s="84"/>
      <c r="DY860" s="84"/>
      <c r="EC860" s="84"/>
      <c r="EG860" s="84"/>
      <c r="EK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128"/>
      <c r="AA861" s="129"/>
      <c r="AC861" s="130"/>
      <c r="AD861" s="128"/>
      <c r="AE861" s="129"/>
      <c r="AG861" s="130"/>
      <c r="AH861" s="128"/>
      <c r="AI861" s="129"/>
      <c r="AK861" s="130"/>
      <c r="AL861" s="128"/>
      <c r="AM861" s="129"/>
      <c r="AO861" s="130"/>
      <c r="AP861" s="128"/>
      <c r="AQ861" s="129"/>
      <c r="AS861" s="130"/>
      <c r="AT861" s="128"/>
      <c r="AU861" s="129"/>
      <c r="AW861" s="130"/>
      <c r="AX861" s="85"/>
      <c r="AY861" s="84"/>
      <c r="AZ861" s="84"/>
      <c r="BA861" s="131"/>
      <c r="BB861" s="84"/>
      <c r="BE861" s="84"/>
      <c r="BI861" s="86"/>
      <c r="BO861" s="84"/>
      <c r="BT861" s="84"/>
      <c r="BY861" s="84"/>
      <c r="CD861" s="84"/>
      <c r="CI861" s="128"/>
      <c r="CJ861" s="129"/>
      <c r="CL861" s="132"/>
      <c r="CM861" s="128"/>
      <c r="CN861" s="129"/>
      <c r="CP861" s="132"/>
      <c r="CQ861" s="128"/>
      <c r="CR861" s="129"/>
      <c r="CT861" s="132"/>
      <c r="CU861" s="128"/>
      <c r="CV861" s="129"/>
      <c r="CX861" s="132"/>
      <c r="CY861" s="128"/>
      <c r="CZ861" s="129"/>
      <c r="DB861" s="132"/>
      <c r="DC861" s="128"/>
      <c r="DD861" s="129"/>
      <c r="DF861" s="132"/>
      <c r="DG861" s="85"/>
      <c r="DH861" s="85"/>
      <c r="DI861" s="84"/>
      <c r="DK861" s="84"/>
      <c r="DP861" s="84"/>
      <c r="DU861" s="84"/>
      <c r="DY861" s="84"/>
      <c r="EC861" s="84"/>
      <c r="EG861" s="84"/>
      <c r="EK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128"/>
      <c r="AA862" s="129"/>
      <c r="AC862" s="130"/>
      <c r="AD862" s="128"/>
      <c r="AE862" s="129"/>
      <c r="AG862" s="130"/>
      <c r="AH862" s="128"/>
      <c r="AI862" s="129"/>
      <c r="AK862" s="130"/>
      <c r="AL862" s="128"/>
      <c r="AM862" s="129"/>
      <c r="AO862" s="130"/>
      <c r="AP862" s="128"/>
      <c r="AQ862" s="129"/>
      <c r="AS862" s="130"/>
      <c r="AT862" s="128"/>
      <c r="AU862" s="129"/>
      <c r="AW862" s="130"/>
      <c r="AX862" s="85"/>
      <c r="AY862" s="84"/>
      <c r="AZ862" s="84"/>
      <c r="BA862" s="131"/>
      <c r="BB862" s="84"/>
      <c r="BE862" s="84"/>
      <c r="BI862" s="86"/>
      <c r="BO862" s="84"/>
      <c r="BT862" s="84"/>
      <c r="BY862" s="84"/>
      <c r="CD862" s="84"/>
      <c r="CI862" s="128"/>
      <c r="CJ862" s="129"/>
      <c r="CL862" s="132"/>
      <c r="CM862" s="128"/>
      <c r="CN862" s="129"/>
      <c r="CP862" s="132"/>
      <c r="CQ862" s="128"/>
      <c r="CR862" s="129"/>
      <c r="CT862" s="132"/>
      <c r="CU862" s="128"/>
      <c r="CV862" s="129"/>
      <c r="CX862" s="132"/>
      <c r="CY862" s="128"/>
      <c r="CZ862" s="129"/>
      <c r="DB862" s="132"/>
      <c r="DC862" s="128"/>
      <c r="DD862" s="129"/>
      <c r="DF862" s="132"/>
      <c r="DG862" s="85"/>
      <c r="DH862" s="85"/>
      <c r="DI862" s="84"/>
      <c r="DK862" s="84"/>
      <c r="DP862" s="84"/>
      <c r="DU862" s="84"/>
      <c r="DY862" s="84"/>
      <c r="EC862" s="84"/>
      <c r="EG862" s="84"/>
      <c r="EK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128"/>
      <c r="AA863" s="129"/>
      <c r="AC863" s="130"/>
      <c r="AD863" s="128"/>
      <c r="AE863" s="129"/>
      <c r="AG863" s="130"/>
      <c r="AH863" s="128"/>
      <c r="AI863" s="129"/>
      <c r="AK863" s="130"/>
      <c r="AL863" s="128"/>
      <c r="AM863" s="129"/>
      <c r="AO863" s="130"/>
      <c r="AP863" s="128"/>
      <c r="AQ863" s="129"/>
      <c r="AS863" s="130"/>
      <c r="AT863" s="128"/>
      <c r="AU863" s="129"/>
      <c r="AW863" s="130"/>
      <c r="AX863" s="85"/>
      <c r="AY863" s="84"/>
      <c r="AZ863" s="84"/>
      <c r="BA863" s="131"/>
      <c r="BB863" s="84"/>
      <c r="BE863" s="84"/>
      <c r="BI863" s="86"/>
      <c r="BO863" s="84"/>
      <c r="BT863" s="84"/>
      <c r="BY863" s="84"/>
      <c r="CD863" s="84"/>
      <c r="CI863" s="128"/>
      <c r="CJ863" s="129"/>
      <c r="CL863" s="132"/>
      <c r="CM863" s="128"/>
      <c r="CN863" s="129"/>
      <c r="CP863" s="132"/>
      <c r="CQ863" s="128"/>
      <c r="CR863" s="129"/>
      <c r="CT863" s="132"/>
      <c r="CU863" s="128"/>
      <c r="CV863" s="129"/>
      <c r="CX863" s="132"/>
      <c r="CY863" s="128"/>
      <c r="CZ863" s="129"/>
      <c r="DB863" s="132"/>
      <c r="DC863" s="128"/>
      <c r="DD863" s="129"/>
      <c r="DF863" s="132"/>
      <c r="DG863" s="85"/>
      <c r="DH863" s="85"/>
      <c r="DI863" s="84"/>
      <c r="DK863" s="84"/>
      <c r="DP863" s="84"/>
      <c r="DU863" s="84"/>
      <c r="DY863" s="84"/>
      <c r="EC863" s="84"/>
      <c r="EG863" s="84"/>
      <c r="EK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128"/>
      <c r="AA864" s="129"/>
      <c r="AC864" s="130"/>
      <c r="AD864" s="128"/>
      <c r="AE864" s="129"/>
      <c r="AG864" s="130"/>
      <c r="AH864" s="128"/>
      <c r="AI864" s="129"/>
      <c r="AK864" s="130"/>
      <c r="AL864" s="128"/>
      <c r="AM864" s="129"/>
      <c r="AO864" s="130"/>
      <c r="AP864" s="128"/>
      <c r="AQ864" s="129"/>
      <c r="AS864" s="130"/>
      <c r="AT864" s="128"/>
      <c r="AU864" s="129"/>
      <c r="AW864" s="130"/>
      <c r="AX864" s="85"/>
      <c r="AY864" s="84"/>
      <c r="AZ864" s="84"/>
      <c r="BA864" s="131"/>
      <c r="BB864" s="84"/>
      <c r="BE864" s="84"/>
      <c r="BI864" s="86"/>
      <c r="BO864" s="84"/>
      <c r="BT864" s="84"/>
      <c r="BY864" s="84"/>
      <c r="CD864" s="84"/>
      <c r="CI864" s="128"/>
      <c r="CJ864" s="129"/>
      <c r="CL864" s="132"/>
      <c r="CM864" s="128"/>
      <c r="CN864" s="129"/>
      <c r="CP864" s="132"/>
      <c r="CQ864" s="128"/>
      <c r="CR864" s="129"/>
      <c r="CT864" s="132"/>
      <c r="CU864" s="128"/>
      <c r="CV864" s="129"/>
      <c r="CX864" s="132"/>
      <c r="CY864" s="128"/>
      <c r="CZ864" s="129"/>
      <c r="DB864" s="132"/>
      <c r="DC864" s="128"/>
      <c r="DD864" s="129"/>
      <c r="DF864" s="132"/>
      <c r="DG864" s="85"/>
      <c r="DH864" s="85"/>
      <c r="DI864" s="84"/>
      <c r="DK864" s="84"/>
      <c r="DP864" s="84"/>
      <c r="DU864" s="84"/>
      <c r="DY864" s="84"/>
      <c r="EC864" s="84"/>
      <c r="EG864" s="84"/>
      <c r="EK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128"/>
      <c r="AA865" s="129"/>
      <c r="AC865" s="130"/>
      <c r="AD865" s="128"/>
      <c r="AE865" s="129"/>
      <c r="AG865" s="130"/>
      <c r="AH865" s="128"/>
      <c r="AI865" s="129"/>
      <c r="AK865" s="130"/>
      <c r="AL865" s="128"/>
      <c r="AM865" s="129"/>
      <c r="AO865" s="130"/>
      <c r="AP865" s="128"/>
      <c r="AQ865" s="129"/>
      <c r="AS865" s="130"/>
      <c r="AT865" s="128"/>
      <c r="AU865" s="129"/>
      <c r="AW865" s="130"/>
      <c r="AX865" s="85"/>
      <c r="AY865" s="84"/>
      <c r="AZ865" s="84"/>
      <c r="BA865" s="131"/>
      <c r="BB865" s="84"/>
      <c r="BE865" s="84"/>
      <c r="BI865" s="86"/>
      <c r="BO865" s="84"/>
      <c r="BT865" s="84"/>
      <c r="BY865" s="84"/>
      <c r="CD865" s="84"/>
      <c r="CI865" s="128"/>
      <c r="CJ865" s="129"/>
      <c r="CL865" s="132"/>
      <c r="CM865" s="128"/>
      <c r="CN865" s="129"/>
      <c r="CP865" s="132"/>
      <c r="CQ865" s="128"/>
      <c r="CR865" s="129"/>
      <c r="CT865" s="132"/>
      <c r="CU865" s="128"/>
      <c r="CV865" s="129"/>
      <c r="CX865" s="132"/>
      <c r="CY865" s="128"/>
      <c r="CZ865" s="129"/>
      <c r="DB865" s="132"/>
      <c r="DC865" s="128"/>
      <c r="DD865" s="129"/>
      <c r="DF865" s="132"/>
      <c r="DG865" s="85"/>
      <c r="DH865" s="85"/>
      <c r="DI865" s="84"/>
      <c r="DK865" s="84"/>
      <c r="DP865" s="84"/>
      <c r="DU865" s="84"/>
      <c r="DY865" s="84"/>
      <c r="EC865" s="84"/>
      <c r="EG865" s="84"/>
      <c r="EK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128"/>
      <c r="AA866" s="129"/>
      <c r="AC866" s="130"/>
      <c r="AD866" s="128"/>
      <c r="AE866" s="129"/>
      <c r="AG866" s="130"/>
      <c r="AH866" s="128"/>
      <c r="AI866" s="129"/>
      <c r="AK866" s="130"/>
      <c r="AL866" s="128"/>
      <c r="AM866" s="129"/>
      <c r="AO866" s="130"/>
      <c r="AP866" s="128"/>
      <c r="AQ866" s="129"/>
      <c r="AS866" s="130"/>
      <c r="AT866" s="128"/>
      <c r="AU866" s="129"/>
      <c r="AW866" s="130"/>
      <c r="AX866" s="85"/>
      <c r="AY866" s="84"/>
      <c r="AZ866" s="84"/>
      <c r="BA866" s="131"/>
      <c r="BB866" s="84"/>
      <c r="BE866" s="84"/>
      <c r="BI866" s="86"/>
      <c r="BO866" s="84"/>
      <c r="BT866" s="84"/>
      <c r="BY866" s="84"/>
      <c r="CD866" s="84"/>
      <c r="CI866" s="128"/>
      <c r="CJ866" s="129"/>
      <c r="CL866" s="132"/>
      <c r="CM866" s="128"/>
      <c r="CN866" s="129"/>
      <c r="CP866" s="132"/>
      <c r="CQ866" s="128"/>
      <c r="CR866" s="129"/>
      <c r="CT866" s="132"/>
      <c r="CU866" s="128"/>
      <c r="CV866" s="129"/>
      <c r="CX866" s="132"/>
      <c r="CY866" s="128"/>
      <c r="CZ866" s="129"/>
      <c r="DB866" s="132"/>
      <c r="DC866" s="128"/>
      <c r="DD866" s="129"/>
      <c r="DF866" s="132"/>
      <c r="DG866" s="85"/>
      <c r="DH866" s="85"/>
      <c r="DI866" s="84"/>
      <c r="DK866" s="84"/>
      <c r="DP866" s="84"/>
      <c r="DU866" s="84"/>
      <c r="DY866" s="84"/>
      <c r="EC866" s="84"/>
      <c r="EG866" s="84"/>
      <c r="EK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128"/>
      <c r="AA867" s="129"/>
      <c r="AC867" s="130"/>
      <c r="AD867" s="128"/>
      <c r="AE867" s="129"/>
      <c r="AG867" s="130"/>
      <c r="AH867" s="128"/>
      <c r="AI867" s="129"/>
      <c r="AK867" s="130"/>
      <c r="AL867" s="128"/>
      <c r="AM867" s="129"/>
      <c r="AO867" s="130"/>
      <c r="AP867" s="128"/>
      <c r="AQ867" s="129"/>
      <c r="AS867" s="130"/>
      <c r="AT867" s="128"/>
      <c r="AU867" s="129"/>
      <c r="AW867" s="130"/>
      <c r="AX867" s="85"/>
      <c r="AY867" s="84"/>
      <c r="AZ867" s="84"/>
      <c r="BA867" s="131"/>
      <c r="BB867" s="84"/>
      <c r="BE867" s="84"/>
      <c r="BI867" s="86"/>
      <c r="BO867" s="84"/>
      <c r="BT867" s="84"/>
      <c r="BY867" s="84"/>
      <c r="CD867" s="84"/>
      <c r="CI867" s="128"/>
      <c r="CJ867" s="129"/>
      <c r="CL867" s="132"/>
      <c r="CM867" s="128"/>
      <c r="CN867" s="129"/>
      <c r="CP867" s="132"/>
      <c r="CQ867" s="128"/>
      <c r="CR867" s="129"/>
      <c r="CT867" s="132"/>
      <c r="CU867" s="128"/>
      <c r="CV867" s="129"/>
      <c r="CX867" s="132"/>
      <c r="CY867" s="128"/>
      <c r="CZ867" s="129"/>
      <c r="DB867" s="132"/>
      <c r="DC867" s="128"/>
      <c r="DD867" s="129"/>
      <c r="DF867" s="132"/>
      <c r="DG867" s="85"/>
      <c r="DH867" s="85"/>
      <c r="DI867" s="84"/>
      <c r="DK867" s="84"/>
      <c r="DP867" s="84"/>
      <c r="DU867" s="84"/>
      <c r="DY867" s="84"/>
      <c r="EC867" s="84"/>
      <c r="EG867" s="84"/>
      <c r="EK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128"/>
      <c r="AA868" s="129"/>
      <c r="AC868" s="130"/>
      <c r="AD868" s="128"/>
      <c r="AE868" s="129"/>
      <c r="AG868" s="130"/>
      <c r="AH868" s="128"/>
      <c r="AI868" s="129"/>
      <c r="AK868" s="130"/>
      <c r="AL868" s="128"/>
      <c r="AM868" s="129"/>
      <c r="AO868" s="130"/>
      <c r="AP868" s="128"/>
      <c r="AQ868" s="129"/>
      <c r="AS868" s="130"/>
      <c r="AT868" s="128"/>
      <c r="AU868" s="129"/>
      <c r="AW868" s="130"/>
      <c r="AX868" s="85"/>
      <c r="AY868" s="84"/>
      <c r="AZ868" s="84"/>
      <c r="BA868" s="131"/>
      <c r="BB868" s="84"/>
      <c r="BE868" s="84"/>
      <c r="BI868" s="86"/>
      <c r="BO868" s="84"/>
      <c r="BT868" s="84"/>
      <c r="BY868" s="84"/>
      <c r="CD868" s="84"/>
      <c r="CI868" s="128"/>
      <c r="CJ868" s="129"/>
      <c r="CL868" s="132"/>
      <c r="CM868" s="128"/>
      <c r="CN868" s="129"/>
      <c r="CP868" s="132"/>
      <c r="CQ868" s="128"/>
      <c r="CR868" s="129"/>
      <c r="CT868" s="132"/>
      <c r="CU868" s="128"/>
      <c r="CV868" s="129"/>
      <c r="CX868" s="132"/>
      <c r="CY868" s="128"/>
      <c r="CZ868" s="129"/>
      <c r="DB868" s="132"/>
      <c r="DC868" s="128"/>
      <c r="DD868" s="129"/>
      <c r="DF868" s="132"/>
      <c r="DG868" s="85"/>
      <c r="DH868" s="85"/>
      <c r="DI868" s="84"/>
      <c r="DK868" s="84"/>
      <c r="DP868" s="84"/>
      <c r="DU868" s="84"/>
      <c r="DY868" s="84"/>
      <c r="EC868" s="84"/>
      <c r="EG868" s="84"/>
      <c r="EK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128"/>
      <c r="AA869" s="129"/>
      <c r="AC869" s="130"/>
      <c r="AD869" s="128"/>
      <c r="AE869" s="129"/>
      <c r="AG869" s="130"/>
      <c r="AH869" s="128"/>
      <c r="AI869" s="129"/>
      <c r="AK869" s="130"/>
      <c r="AL869" s="128"/>
      <c r="AM869" s="129"/>
      <c r="AO869" s="130"/>
      <c r="AP869" s="128"/>
      <c r="AQ869" s="129"/>
      <c r="AS869" s="130"/>
      <c r="AT869" s="128"/>
      <c r="AU869" s="129"/>
      <c r="AW869" s="130"/>
      <c r="AX869" s="85"/>
      <c r="AY869" s="84"/>
      <c r="AZ869" s="84"/>
      <c r="BA869" s="131"/>
      <c r="BB869" s="84"/>
      <c r="BE869" s="84"/>
      <c r="BI869" s="86"/>
      <c r="BO869" s="84"/>
      <c r="BT869" s="84"/>
      <c r="BY869" s="84"/>
      <c r="CD869" s="84"/>
      <c r="CI869" s="128"/>
      <c r="CJ869" s="129"/>
      <c r="CL869" s="132"/>
      <c r="CM869" s="128"/>
      <c r="CN869" s="129"/>
      <c r="CP869" s="132"/>
      <c r="CQ869" s="128"/>
      <c r="CR869" s="129"/>
      <c r="CT869" s="132"/>
      <c r="CU869" s="128"/>
      <c r="CV869" s="129"/>
      <c r="CX869" s="132"/>
      <c r="CY869" s="128"/>
      <c r="CZ869" s="129"/>
      <c r="DB869" s="132"/>
      <c r="DC869" s="128"/>
      <c r="DD869" s="129"/>
      <c r="DF869" s="132"/>
      <c r="DG869" s="85"/>
      <c r="DH869" s="85"/>
      <c r="DI869" s="84"/>
      <c r="DK869" s="84"/>
      <c r="DP869" s="84"/>
      <c r="DU869" s="84"/>
      <c r="DY869" s="84"/>
      <c r="EC869" s="84"/>
      <c r="EG869" s="84"/>
      <c r="EK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128"/>
      <c r="AA870" s="129"/>
      <c r="AC870" s="130"/>
      <c r="AD870" s="128"/>
      <c r="AE870" s="129"/>
      <c r="AG870" s="130"/>
      <c r="AH870" s="128"/>
      <c r="AI870" s="129"/>
      <c r="AK870" s="130"/>
      <c r="AL870" s="128"/>
      <c r="AM870" s="129"/>
      <c r="AO870" s="130"/>
      <c r="AP870" s="128"/>
      <c r="AQ870" s="129"/>
      <c r="AS870" s="130"/>
      <c r="AT870" s="128"/>
      <c r="AU870" s="129"/>
      <c r="AW870" s="130"/>
      <c r="AX870" s="85"/>
      <c r="AY870" s="84"/>
      <c r="AZ870" s="84"/>
      <c r="BA870" s="131"/>
      <c r="BB870" s="84"/>
      <c r="BE870" s="84"/>
      <c r="BI870" s="86"/>
      <c r="BO870" s="84"/>
      <c r="BT870" s="84"/>
      <c r="BY870" s="84"/>
      <c r="CD870" s="84"/>
      <c r="CI870" s="128"/>
      <c r="CJ870" s="129"/>
      <c r="CL870" s="132"/>
      <c r="CM870" s="128"/>
      <c r="CN870" s="129"/>
      <c r="CP870" s="132"/>
      <c r="CQ870" s="128"/>
      <c r="CR870" s="129"/>
      <c r="CT870" s="132"/>
      <c r="CU870" s="128"/>
      <c r="CV870" s="129"/>
      <c r="CX870" s="132"/>
      <c r="CY870" s="128"/>
      <c r="CZ870" s="129"/>
      <c r="DB870" s="132"/>
      <c r="DC870" s="128"/>
      <c r="DD870" s="129"/>
      <c r="DF870" s="132"/>
      <c r="DG870" s="85"/>
      <c r="DH870" s="85"/>
      <c r="DI870" s="84"/>
      <c r="DK870" s="84"/>
      <c r="DP870" s="84"/>
      <c r="DU870" s="84"/>
      <c r="DY870" s="84"/>
      <c r="EC870" s="84"/>
      <c r="EG870" s="84"/>
      <c r="EK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128"/>
      <c r="AA871" s="129"/>
      <c r="AC871" s="130"/>
      <c r="AD871" s="128"/>
      <c r="AE871" s="129"/>
      <c r="AG871" s="130"/>
      <c r="AH871" s="128"/>
      <c r="AI871" s="129"/>
      <c r="AK871" s="130"/>
      <c r="AL871" s="128"/>
      <c r="AM871" s="129"/>
      <c r="AO871" s="130"/>
      <c r="AP871" s="128"/>
      <c r="AQ871" s="129"/>
      <c r="AS871" s="130"/>
      <c r="AT871" s="128"/>
      <c r="AU871" s="129"/>
      <c r="AW871" s="130"/>
      <c r="AX871" s="85"/>
      <c r="AY871" s="84"/>
      <c r="AZ871" s="84"/>
      <c r="BA871" s="131"/>
      <c r="BB871" s="84"/>
      <c r="BE871" s="84"/>
      <c r="BI871" s="86"/>
      <c r="BO871" s="84"/>
      <c r="BT871" s="84"/>
      <c r="BY871" s="84"/>
      <c r="CD871" s="84"/>
      <c r="CI871" s="128"/>
      <c r="CJ871" s="129"/>
      <c r="CL871" s="132"/>
      <c r="CM871" s="128"/>
      <c r="CN871" s="129"/>
      <c r="CP871" s="132"/>
      <c r="CQ871" s="128"/>
      <c r="CR871" s="129"/>
      <c r="CT871" s="132"/>
      <c r="CU871" s="128"/>
      <c r="CV871" s="129"/>
      <c r="CX871" s="132"/>
      <c r="CY871" s="128"/>
      <c r="CZ871" s="129"/>
      <c r="DB871" s="132"/>
      <c r="DC871" s="128"/>
      <c r="DD871" s="129"/>
      <c r="DF871" s="132"/>
      <c r="DG871" s="85"/>
      <c r="DH871" s="85"/>
      <c r="DI871" s="84"/>
      <c r="DK871" s="84"/>
      <c r="DP871" s="84"/>
      <c r="DU871" s="84"/>
      <c r="DY871" s="84"/>
      <c r="EC871" s="84"/>
      <c r="EG871" s="84"/>
      <c r="EK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128"/>
      <c r="AA872" s="129"/>
      <c r="AC872" s="130"/>
      <c r="AD872" s="128"/>
      <c r="AE872" s="129"/>
      <c r="AG872" s="130"/>
      <c r="AH872" s="128"/>
      <c r="AI872" s="129"/>
      <c r="AK872" s="130"/>
      <c r="AL872" s="128"/>
      <c r="AM872" s="129"/>
      <c r="AO872" s="130"/>
      <c r="AP872" s="128"/>
      <c r="AQ872" s="129"/>
      <c r="AS872" s="130"/>
      <c r="AT872" s="128"/>
      <c r="AU872" s="129"/>
      <c r="AW872" s="130"/>
      <c r="AX872" s="85"/>
      <c r="AY872" s="84"/>
      <c r="AZ872" s="84"/>
      <c r="BA872" s="131"/>
      <c r="BB872" s="84"/>
      <c r="BE872" s="84"/>
      <c r="BI872" s="86"/>
      <c r="BO872" s="84"/>
      <c r="BT872" s="84"/>
      <c r="BY872" s="84"/>
      <c r="CD872" s="84"/>
      <c r="CI872" s="128"/>
      <c r="CJ872" s="129"/>
      <c r="CL872" s="132"/>
      <c r="CM872" s="128"/>
      <c r="CN872" s="129"/>
      <c r="CP872" s="132"/>
      <c r="CQ872" s="128"/>
      <c r="CR872" s="129"/>
      <c r="CT872" s="132"/>
      <c r="CU872" s="128"/>
      <c r="CV872" s="129"/>
      <c r="CX872" s="132"/>
      <c r="CY872" s="128"/>
      <c r="CZ872" s="129"/>
      <c r="DB872" s="132"/>
      <c r="DC872" s="128"/>
      <c r="DD872" s="129"/>
      <c r="DF872" s="132"/>
      <c r="DG872" s="85"/>
      <c r="DH872" s="85"/>
      <c r="DI872" s="84"/>
      <c r="DK872" s="84"/>
      <c r="DP872" s="84"/>
      <c r="DU872" s="84"/>
      <c r="DY872" s="84"/>
      <c r="EC872" s="84"/>
      <c r="EG872" s="84"/>
      <c r="EK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128"/>
      <c r="AA873" s="129"/>
      <c r="AC873" s="130"/>
      <c r="AD873" s="128"/>
      <c r="AE873" s="129"/>
      <c r="AG873" s="130"/>
      <c r="AH873" s="128"/>
      <c r="AI873" s="129"/>
      <c r="AK873" s="130"/>
      <c r="AL873" s="128"/>
      <c r="AM873" s="129"/>
      <c r="AO873" s="130"/>
      <c r="AP873" s="128"/>
      <c r="AQ873" s="129"/>
      <c r="AS873" s="130"/>
      <c r="AT873" s="128"/>
      <c r="AU873" s="129"/>
      <c r="AW873" s="130"/>
      <c r="AX873" s="85"/>
      <c r="AY873" s="84"/>
      <c r="AZ873" s="84"/>
      <c r="BA873" s="131"/>
      <c r="BB873" s="84"/>
      <c r="BE873" s="84"/>
      <c r="BI873" s="86"/>
      <c r="BO873" s="84"/>
      <c r="BT873" s="84"/>
      <c r="BY873" s="84"/>
      <c r="CD873" s="84"/>
      <c r="CI873" s="128"/>
      <c r="CJ873" s="129"/>
      <c r="CL873" s="132"/>
      <c r="CM873" s="128"/>
      <c r="CN873" s="129"/>
      <c r="CP873" s="132"/>
      <c r="CQ873" s="128"/>
      <c r="CR873" s="129"/>
      <c r="CT873" s="132"/>
      <c r="CU873" s="128"/>
      <c r="CV873" s="129"/>
      <c r="CX873" s="132"/>
      <c r="CY873" s="128"/>
      <c r="CZ873" s="129"/>
      <c r="DB873" s="132"/>
      <c r="DC873" s="128"/>
      <c r="DD873" s="129"/>
      <c r="DF873" s="132"/>
      <c r="DG873" s="85"/>
      <c r="DH873" s="85"/>
      <c r="DI873" s="84"/>
      <c r="DK873" s="84"/>
      <c r="DP873" s="84"/>
      <c r="DU873" s="84"/>
      <c r="DY873" s="84"/>
      <c r="EC873" s="84"/>
      <c r="EG873" s="84"/>
      <c r="EK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128"/>
      <c r="AA874" s="129"/>
      <c r="AC874" s="130"/>
      <c r="AD874" s="128"/>
      <c r="AE874" s="129"/>
      <c r="AG874" s="130"/>
      <c r="AH874" s="128"/>
      <c r="AI874" s="129"/>
      <c r="AK874" s="130"/>
      <c r="AL874" s="128"/>
      <c r="AM874" s="129"/>
      <c r="AO874" s="130"/>
      <c r="AP874" s="128"/>
      <c r="AQ874" s="129"/>
      <c r="AS874" s="130"/>
      <c r="AT874" s="128"/>
      <c r="AU874" s="129"/>
      <c r="AW874" s="130"/>
      <c r="AX874" s="85"/>
      <c r="AY874" s="84"/>
      <c r="AZ874" s="84"/>
      <c r="BA874" s="131"/>
      <c r="BB874" s="84"/>
      <c r="BE874" s="84"/>
      <c r="BI874" s="86"/>
      <c r="BO874" s="84"/>
      <c r="BT874" s="84"/>
      <c r="BY874" s="84"/>
      <c r="CD874" s="84"/>
      <c r="CI874" s="128"/>
      <c r="CJ874" s="129"/>
      <c r="CL874" s="132"/>
      <c r="CM874" s="128"/>
      <c r="CN874" s="129"/>
      <c r="CP874" s="132"/>
      <c r="CQ874" s="128"/>
      <c r="CR874" s="129"/>
      <c r="CT874" s="132"/>
      <c r="CU874" s="128"/>
      <c r="CV874" s="129"/>
      <c r="CX874" s="132"/>
      <c r="CY874" s="128"/>
      <c r="CZ874" s="129"/>
      <c r="DB874" s="132"/>
      <c r="DC874" s="128"/>
      <c r="DD874" s="129"/>
      <c r="DF874" s="132"/>
      <c r="DG874" s="85"/>
      <c r="DH874" s="85"/>
      <c r="DI874" s="84"/>
      <c r="DK874" s="84"/>
      <c r="DP874" s="84"/>
      <c r="DU874" s="84"/>
      <c r="DY874" s="84"/>
      <c r="EC874" s="84"/>
      <c r="EG874" s="84"/>
      <c r="EK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128"/>
      <c r="AA875" s="129"/>
      <c r="AC875" s="130"/>
      <c r="AD875" s="128"/>
      <c r="AE875" s="129"/>
      <c r="AG875" s="130"/>
      <c r="AH875" s="128"/>
      <c r="AI875" s="129"/>
      <c r="AK875" s="130"/>
      <c r="AL875" s="128"/>
      <c r="AM875" s="129"/>
      <c r="AO875" s="130"/>
      <c r="AP875" s="128"/>
      <c r="AQ875" s="129"/>
      <c r="AS875" s="130"/>
      <c r="AT875" s="128"/>
      <c r="AU875" s="129"/>
      <c r="AW875" s="130"/>
      <c r="AX875" s="85"/>
      <c r="AY875" s="84"/>
      <c r="AZ875" s="84"/>
      <c r="BA875" s="131"/>
      <c r="BB875" s="84"/>
      <c r="BE875" s="84"/>
      <c r="BI875" s="86"/>
      <c r="BO875" s="84"/>
      <c r="BT875" s="84"/>
      <c r="BY875" s="84"/>
      <c r="CD875" s="84"/>
      <c r="CI875" s="128"/>
      <c r="CJ875" s="129"/>
      <c r="CL875" s="132"/>
      <c r="CM875" s="128"/>
      <c r="CN875" s="129"/>
      <c r="CP875" s="132"/>
      <c r="CQ875" s="128"/>
      <c r="CR875" s="129"/>
      <c r="CT875" s="132"/>
      <c r="CU875" s="128"/>
      <c r="CV875" s="129"/>
      <c r="CX875" s="132"/>
      <c r="CY875" s="128"/>
      <c r="CZ875" s="129"/>
      <c r="DB875" s="132"/>
      <c r="DC875" s="128"/>
      <c r="DD875" s="129"/>
      <c r="DF875" s="132"/>
      <c r="DG875" s="85"/>
      <c r="DH875" s="85"/>
      <c r="DI875" s="84"/>
      <c r="DK875" s="84"/>
      <c r="DP875" s="84"/>
      <c r="DU875" s="84"/>
      <c r="DY875" s="84"/>
      <c r="EC875" s="84"/>
      <c r="EG875" s="84"/>
      <c r="EK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128"/>
      <c r="AA876" s="129"/>
      <c r="AC876" s="130"/>
      <c r="AD876" s="128"/>
      <c r="AE876" s="129"/>
      <c r="AG876" s="130"/>
      <c r="AH876" s="128"/>
      <c r="AI876" s="129"/>
      <c r="AK876" s="130"/>
      <c r="AL876" s="128"/>
      <c r="AM876" s="129"/>
      <c r="AO876" s="130"/>
      <c r="AP876" s="128"/>
      <c r="AQ876" s="129"/>
      <c r="AS876" s="130"/>
      <c r="AT876" s="128"/>
      <c r="AU876" s="129"/>
      <c r="AW876" s="130"/>
      <c r="AX876" s="85"/>
      <c r="AY876" s="84"/>
      <c r="AZ876" s="84"/>
      <c r="BA876" s="131"/>
      <c r="BB876" s="84"/>
      <c r="BE876" s="84"/>
      <c r="BI876" s="86"/>
      <c r="BO876" s="84"/>
      <c r="BT876" s="84"/>
      <c r="BY876" s="84"/>
      <c r="CD876" s="84"/>
      <c r="CI876" s="128"/>
      <c r="CJ876" s="129"/>
      <c r="CL876" s="132"/>
      <c r="CM876" s="128"/>
      <c r="CN876" s="129"/>
      <c r="CP876" s="132"/>
      <c r="CQ876" s="128"/>
      <c r="CR876" s="129"/>
      <c r="CT876" s="132"/>
      <c r="CU876" s="128"/>
      <c r="CV876" s="129"/>
      <c r="CX876" s="132"/>
      <c r="CY876" s="128"/>
      <c r="CZ876" s="129"/>
      <c r="DB876" s="132"/>
      <c r="DC876" s="128"/>
      <c r="DD876" s="129"/>
      <c r="DF876" s="132"/>
      <c r="DG876" s="85"/>
      <c r="DH876" s="85"/>
      <c r="DI876" s="84"/>
      <c r="DK876" s="84"/>
      <c r="DP876" s="84"/>
      <c r="DU876" s="84"/>
      <c r="DY876" s="84"/>
      <c r="EC876" s="84"/>
      <c r="EG876" s="84"/>
      <c r="EK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128"/>
      <c r="AA877" s="129"/>
      <c r="AC877" s="130"/>
      <c r="AD877" s="128"/>
      <c r="AE877" s="129"/>
      <c r="AG877" s="130"/>
      <c r="AH877" s="128"/>
      <c r="AI877" s="129"/>
      <c r="AK877" s="130"/>
      <c r="AL877" s="128"/>
      <c r="AM877" s="129"/>
      <c r="AO877" s="130"/>
      <c r="AP877" s="128"/>
      <c r="AQ877" s="129"/>
      <c r="AS877" s="130"/>
      <c r="AT877" s="128"/>
      <c r="AU877" s="129"/>
      <c r="AW877" s="130"/>
      <c r="AX877" s="85"/>
      <c r="AY877" s="84"/>
      <c r="AZ877" s="84"/>
      <c r="BA877" s="131"/>
      <c r="BB877" s="84"/>
      <c r="BE877" s="84"/>
      <c r="BI877" s="86"/>
      <c r="BO877" s="84"/>
      <c r="BT877" s="84"/>
      <c r="BY877" s="84"/>
      <c r="CD877" s="84"/>
      <c r="CI877" s="128"/>
      <c r="CJ877" s="129"/>
      <c r="CL877" s="132"/>
      <c r="CM877" s="128"/>
      <c r="CN877" s="129"/>
      <c r="CP877" s="132"/>
      <c r="CQ877" s="128"/>
      <c r="CR877" s="129"/>
      <c r="CT877" s="132"/>
      <c r="CU877" s="128"/>
      <c r="CV877" s="129"/>
      <c r="CX877" s="132"/>
      <c r="CY877" s="128"/>
      <c r="CZ877" s="129"/>
      <c r="DB877" s="132"/>
      <c r="DC877" s="128"/>
      <c r="DD877" s="129"/>
      <c r="DF877" s="132"/>
      <c r="DG877" s="85"/>
      <c r="DH877" s="85"/>
      <c r="DI877" s="84"/>
      <c r="DK877" s="84"/>
      <c r="DP877" s="84"/>
      <c r="DU877" s="84"/>
      <c r="DY877" s="84"/>
      <c r="EC877" s="84"/>
      <c r="EG877" s="84"/>
      <c r="EK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128"/>
      <c r="AA878" s="129"/>
      <c r="AC878" s="130"/>
      <c r="AD878" s="128"/>
      <c r="AE878" s="129"/>
      <c r="AG878" s="130"/>
      <c r="AH878" s="128"/>
      <c r="AI878" s="129"/>
      <c r="AK878" s="130"/>
      <c r="AL878" s="128"/>
      <c r="AM878" s="129"/>
      <c r="AO878" s="130"/>
      <c r="AP878" s="128"/>
      <c r="AQ878" s="129"/>
      <c r="AS878" s="130"/>
      <c r="AT878" s="128"/>
      <c r="AU878" s="129"/>
      <c r="AW878" s="130"/>
      <c r="AX878" s="85"/>
      <c r="AY878" s="84"/>
      <c r="AZ878" s="84"/>
      <c r="BA878" s="131"/>
      <c r="BB878" s="84"/>
      <c r="BE878" s="84"/>
      <c r="BI878" s="86"/>
      <c r="BO878" s="84"/>
      <c r="BT878" s="84"/>
      <c r="BY878" s="84"/>
      <c r="CD878" s="84"/>
      <c r="CI878" s="128"/>
      <c r="CJ878" s="129"/>
      <c r="CL878" s="132"/>
      <c r="CM878" s="128"/>
      <c r="CN878" s="129"/>
      <c r="CP878" s="132"/>
      <c r="CQ878" s="128"/>
      <c r="CR878" s="129"/>
      <c r="CT878" s="132"/>
      <c r="CU878" s="128"/>
      <c r="CV878" s="129"/>
      <c r="CX878" s="132"/>
      <c r="CY878" s="128"/>
      <c r="CZ878" s="129"/>
      <c r="DB878" s="132"/>
      <c r="DC878" s="128"/>
      <c r="DD878" s="129"/>
      <c r="DF878" s="132"/>
      <c r="DG878" s="85"/>
      <c r="DH878" s="85"/>
      <c r="DI878" s="84"/>
      <c r="DK878" s="84"/>
      <c r="DP878" s="84"/>
      <c r="DU878" s="84"/>
      <c r="DY878" s="84"/>
      <c r="EC878" s="84"/>
      <c r="EG878" s="84"/>
      <c r="EK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128"/>
      <c r="AA879" s="129"/>
      <c r="AC879" s="130"/>
      <c r="AD879" s="128"/>
      <c r="AE879" s="129"/>
      <c r="AG879" s="130"/>
      <c r="AH879" s="128"/>
      <c r="AI879" s="129"/>
      <c r="AK879" s="130"/>
      <c r="AL879" s="128"/>
      <c r="AM879" s="129"/>
      <c r="AO879" s="130"/>
      <c r="AP879" s="128"/>
      <c r="AQ879" s="129"/>
      <c r="AS879" s="130"/>
      <c r="AT879" s="128"/>
      <c r="AU879" s="129"/>
      <c r="AW879" s="130"/>
      <c r="AX879" s="85"/>
      <c r="AY879" s="84"/>
      <c r="AZ879" s="84"/>
      <c r="BA879" s="131"/>
      <c r="BB879" s="84"/>
      <c r="BE879" s="84"/>
      <c r="BI879" s="86"/>
      <c r="BO879" s="84"/>
      <c r="BT879" s="84"/>
      <c r="BY879" s="84"/>
      <c r="CD879" s="84"/>
      <c r="CI879" s="128"/>
      <c r="CJ879" s="129"/>
      <c r="CL879" s="132"/>
      <c r="CM879" s="128"/>
      <c r="CN879" s="129"/>
      <c r="CP879" s="132"/>
      <c r="CQ879" s="128"/>
      <c r="CR879" s="129"/>
      <c r="CT879" s="132"/>
      <c r="CU879" s="128"/>
      <c r="CV879" s="129"/>
      <c r="CX879" s="132"/>
      <c r="CY879" s="128"/>
      <c r="CZ879" s="129"/>
      <c r="DB879" s="132"/>
      <c r="DC879" s="128"/>
      <c r="DD879" s="129"/>
      <c r="DF879" s="132"/>
      <c r="DG879" s="85"/>
      <c r="DH879" s="85"/>
      <c r="DI879" s="84"/>
      <c r="DK879" s="84"/>
      <c r="DP879" s="84"/>
      <c r="DU879" s="84"/>
      <c r="DY879" s="84"/>
      <c r="EC879" s="84"/>
      <c r="EG879" s="84"/>
      <c r="EK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128"/>
      <c r="AA880" s="129"/>
      <c r="AC880" s="130"/>
      <c r="AD880" s="128"/>
      <c r="AE880" s="129"/>
      <c r="AG880" s="130"/>
      <c r="AH880" s="128"/>
      <c r="AI880" s="129"/>
      <c r="AK880" s="130"/>
      <c r="AL880" s="128"/>
      <c r="AM880" s="129"/>
      <c r="AO880" s="130"/>
      <c r="AP880" s="128"/>
      <c r="AQ880" s="129"/>
      <c r="AS880" s="130"/>
      <c r="AT880" s="128"/>
      <c r="AU880" s="129"/>
      <c r="AW880" s="130"/>
      <c r="AX880" s="85"/>
      <c r="AY880" s="84"/>
      <c r="AZ880" s="84"/>
      <c r="BA880" s="131"/>
      <c r="BB880" s="84"/>
      <c r="BE880" s="84"/>
      <c r="BI880" s="86"/>
      <c r="BO880" s="84"/>
      <c r="BT880" s="84"/>
      <c r="BY880" s="84"/>
      <c r="CD880" s="84"/>
      <c r="CI880" s="128"/>
      <c r="CJ880" s="129"/>
      <c r="CL880" s="132"/>
      <c r="CM880" s="128"/>
      <c r="CN880" s="129"/>
      <c r="CP880" s="132"/>
      <c r="CQ880" s="128"/>
      <c r="CR880" s="129"/>
      <c r="CT880" s="132"/>
      <c r="CU880" s="128"/>
      <c r="CV880" s="129"/>
      <c r="CX880" s="132"/>
      <c r="CY880" s="128"/>
      <c r="CZ880" s="129"/>
      <c r="DB880" s="132"/>
      <c r="DC880" s="128"/>
      <c r="DD880" s="129"/>
      <c r="DF880" s="132"/>
      <c r="DG880" s="85"/>
      <c r="DH880" s="85"/>
      <c r="DI880" s="84"/>
      <c r="DK880" s="84"/>
      <c r="DP880" s="84"/>
      <c r="DU880" s="84"/>
      <c r="DY880" s="84"/>
      <c r="EC880" s="84"/>
      <c r="EG880" s="84"/>
      <c r="EK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128"/>
      <c r="AA881" s="129"/>
      <c r="AC881" s="130"/>
      <c r="AD881" s="128"/>
      <c r="AE881" s="129"/>
      <c r="AG881" s="130"/>
      <c r="AH881" s="128"/>
      <c r="AI881" s="129"/>
      <c r="AK881" s="130"/>
      <c r="AL881" s="128"/>
      <c r="AM881" s="129"/>
      <c r="AO881" s="130"/>
      <c r="AP881" s="128"/>
      <c r="AQ881" s="129"/>
      <c r="AS881" s="130"/>
      <c r="AT881" s="128"/>
      <c r="AU881" s="129"/>
      <c r="AW881" s="130"/>
      <c r="AX881" s="85"/>
      <c r="AY881" s="84"/>
      <c r="AZ881" s="84"/>
      <c r="BA881" s="131"/>
      <c r="BB881" s="84"/>
      <c r="BE881" s="84"/>
      <c r="BI881" s="86"/>
      <c r="BO881" s="84"/>
      <c r="BT881" s="84"/>
      <c r="BY881" s="84"/>
      <c r="CD881" s="84"/>
      <c r="CI881" s="128"/>
      <c r="CJ881" s="129"/>
      <c r="CL881" s="132"/>
      <c r="CM881" s="128"/>
      <c r="CN881" s="129"/>
      <c r="CP881" s="132"/>
      <c r="CQ881" s="128"/>
      <c r="CR881" s="129"/>
      <c r="CT881" s="132"/>
      <c r="CU881" s="128"/>
      <c r="CV881" s="129"/>
      <c r="CX881" s="132"/>
      <c r="CY881" s="128"/>
      <c r="CZ881" s="129"/>
      <c r="DB881" s="132"/>
      <c r="DC881" s="128"/>
      <c r="DD881" s="129"/>
      <c r="DF881" s="132"/>
      <c r="DG881" s="85"/>
      <c r="DH881" s="85"/>
      <c r="DI881" s="84"/>
      <c r="DK881" s="84"/>
      <c r="DP881" s="84"/>
      <c r="DU881" s="84"/>
      <c r="DY881" s="84"/>
      <c r="EC881" s="84"/>
      <c r="EG881" s="84"/>
      <c r="EK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128"/>
      <c r="AA882" s="129"/>
      <c r="AC882" s="130"/>
      <c r="AD882" s="128"/>
      <c r="AE882" s="129"/>
      <c r="AG882" s="130"/>
      <c r="AH882" s="128"/>
      <c r="AI882" s="129"/>
      <c r="AK882" s="130"/>
      <c r="AL882" s="128"/>
      <c r="AM882" s="129"/>
      <c r="AO882" s="130"/>
      <c r="AP882" s="128"/>
      <c r="AQ882" s="129"/>
      <c r="AS882" s="130"/>
      <c r="AT882" s="128"/>
      <c r="AU882" s="129"/>
      <c r="AW882" s="130"/>
      <c r="AX882" s="85"/>
      <c r="AY882" s="84"/>
      <c r="AZ882" s="84"/>
      <c r="BA882" s="131"/>
      <c r="BB882" s="84"/>
      <c r="BE882" s="84"/>
      <c r="BI882" s="86"/>
      <c r="BO882" s="84"/>
      <c r="BT882" s="84"/>
      <c r="BY882" s="84"/>
      <c r="CD882" s="84"/>
      <c r="CI882" s="128"/>
      <c r="CJ882" s="129"/>
      <c r="CL882" s="132"/>
      <c r="CM882" s="128"/>
      <c r="CN882" s="129"/>
      <c r="CP882" s="132"/>
      <c r="CQ882" s="128"/>
      <c r="CR882" s="129"/>
      <c r="CT882" s="132"/>
      <c r="CU882" s="128"/>
      <c r="CV882" s="129"/>
      <c r="CX882" s="132"/>
      <c r="CY882" s="128"/>
      <c r="CZ882" s="129"/>
      <c r="DB882" s="132"/>
      <c r="DC882" s="128"/>
      <c r="DD882" s="129"/>
      <c r="DF882" s="132"/>
      <c r="DG882" s="85"/>
      <c r="DH882" s="85"/>
      <c r="DI882" s="84"/>
      <c r="DK882" s="84"/>
      <c r="DP882" s="84"/>
      <c r="DU882" s="84"/>
      <c r="DY882" s="84"/>
      <c r="EC882" s="84"/>
      <c r="EG882" s="84"/>
      <c r="EK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128"/>
      <c r="AA883" s="129"/>
      <c r="AC883" s="130"/>
      <c r="AD883" s="128"/>
      <c r="AE883" s="129"/>
      <c r="AG883" s="130"/>
      <c r="AH883" s="128"/>
      <c r="AI883" s="129"/>
      <c r="AK883" s="130"/>
      <c r="AL883" s="128"/>
      <c r="AM883" s="129"/>
      <c r="AO883" s="130"/>
      <c r="AP883" s="128"/>
      <c r="AQ883" s="129"/>
      <c r="AS883" s="130"/>
      <c r="AT883" s="128"/>
      <c r="AU883" s="129"/>
      <c r="AW883" s="130"/>
      <c r="AX883" s="85"/>
      <c r="AY883" s="84"/>
      <c r="AZ883" s="84"/>
      <c r="BA883" s="131"/>
      <c r="BB883" s="84"/>
      <c r="BE883" s="84"/>
      <c r="BI883" s="86"/>
      <c r="BO883" s="84"/>
      <c r="BT883" s="84"/>
      <c r="BY883" s="84"/>
      <c r="CD883" s="84"/>
      <c r="CI883" s="128"/>
      <c r="CJ883" s="129"/>
      <c r="CL883" s="132"/>
      <c r="CM883" s="128"/>
      <c r="CN883" s="129"/>
      <c r="CP883" s="132"/>
      <c r="CQ883" s="128"/>
      <c r="CR883" s="129"/>
      <c r="CT883" s="132"/>
      <c r="CU883" s="128"/>
      <c r="CV883" s="129"/>
      <c r="CX883" s="132"/>
      <c r="CY883" s="128"/>
      <c r="CZ883" s="129"/>
      <c r="DB883" s="132"/>
      <c r="DC883" s="128"/>
      <c r="DD883" s="129"/>
      <c r="DF883" s="132"/>
      <c r="DG883" s="85"/>
      <c r="DH883" s="85"/>
      <c r="DI883" s="84"/>
      <c r="DK883" s="84"/>
      <c r="DP883" s="84"/>
      <c r="DU883" s="84"/>
      <c r="DY883" s="84"/>
      <c r="EC883" s="84"/>
      <c r="EG883" s="84"/>
      <c r="EK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128"/>
      <c r="AA884" s="129"/>
      <c r="AC884" s="130"/>
      <c r="AD884" s="128"/>
      <c r="AE884" s="129"/>
      <c r="AG884" s="130"/>
      <c r="AH884" s="128"/>
      <c r="AI884" s="129"/>
      <c r="AK884" s="130"/>
      <c r="AL884" s="128"/>
      <c r="AM884" s="129"/>
      <c r="AO884" s="130"/>
      <c r="AP884" s="128"/>
      <c r="AQ884" s="129"/>
      <c r="AS884" s="130"/>
      <c r="AT884" s="128"/>
      <c r="AU884" s="129"/>
      <c r="AW884" s="130"/>
      <c r="AX884" s="85"/>
      <c r="AY884" s="84"/>
      <c r="AZ884" s="84"/>
      <c r="BA884" s="131"/>
      <c r="BB884" s="84"/>
      <c r="BE884" s="84"/>
      <c r="BI884" s="86"/>
      <c r="BO884" s="84"/>
      <c r="BT884" s="84"/>
      <c r="BY884" s="84"/>
      <c r="CD884" s="84"/>
      <c r="CI884" s="128"/>
      <c r="CJ884" s="129"/>
      <c r="CL884" s="132"/>
      <c r="CM884" s="128"/>
      <c r="CN884" s="129"/>
      <c r="CP884" s="132"/>
      <c r="CQ884" s="128"/>
      <c r="CR884" s="129"/>
      <c r="CT884" s="132"/>
      <c r="CU884" s="128"/>
      <c r="CV884" s="129"/>
      <c r="CX884" s="132"/>
      <c r="CY884" s="128"/>
      <c r="CZ884" s="129"/>
      <c r="DB884" s="132"/>
      <c r="DC884" s="128"/>
      <c r="DD884" s="129"/>
      <c r="DF884" s="132"/>
      <c r="DG884" s="85"/>
      <c r="DH884" s="85"/>
      <c r="DI884" s="84"/>
      <c r="DK884" s="84"/>
      <c r="DP884" s="84"/>
      <c r="DU884" s="84"/>
      <c r="DY884" s="84"/>
      <c r="EC884" s="84"/>
      <c r="EG884" s="84"/>
      <c r="EK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128"/>
      <c r="AA885" s="129"/>
      <c r="AC885" s="130"/>
      <c r="AD885" s="128"/>
      <c r="AE885" s="129"/>
      <c r="AG885" s="130"/>
      <c r="AH885" s="128"/>
      <c r="AI885" s="129"/>
      <c r="AK885" s="130"/>
      <c r="AL885" s="128"/>
      <c r="AM885" s="129"/>
      <c r="AO885" s="130"/>
      <c r="AP885" s="128"/>
      <c r="AQ885" s="129"/>
      <c r="AS885" s="130"/>
      <c r="AT885" s="128"/>
      <c r="AU885" s="129"/>
      <c r="AW885" s="130"/>
      <c r="AX885" s="85"/>
      <c r="AY885" s="84"/>
      <c r="AZ885" s="84"/>
      <c r="BA885" s="131"/>
      <c r="BB885" s="84"/>
      <c r="BE885" s="84"/>
      <c r="BI885" s="86"/>
      <c r="BO885" s="84"/>
      <c r="BT885" s="84"/>
      <c r="BY885" s="84"/>
      <c r="CD885" s="84"/>
      <c r="CI885" s="128"/>
      <c r="CJ885" s="129"/>
      <c r="CL885" s="132"/>
      <c r="CM885" s="128"/>
      <c r="CN885" s="129"/>
      <c r="CP885" s="132"/>
      <c r="CQ885" s="128"/>
      <c r="CR885" s="129"/>
      <c r="CT885" s="132"/>
      <c r="CU885" s="128"/>
      <c r="CV885" s="129"/>
      <c r="CX885" s="132"/>
      <c r="CY885" s="128"/>
      <c r="CZ885" s="129"/>
      <c r="DB885" s="132"/>
      <c r="DC885" s="128"/>
      <c r="DD885" s="129"/>
      <c r="DF885" s="132"/>
      <c r="DG885" s="85"/>
      <c r="DH885" s="85"/>
      <c r="DI885" s="84"/>
      <c r="DK885" s="84"/>
      <c r="DP885" s="84"/>
      <c r="DU885" s="84"/>
      <c r="DY885" s="84"/>
      <c r="EC885" s="84"/>
      <c r="EG885" s="84"/>
      <c r="EK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128"/>
      <c r="AA886" s="129"/>
      <c r="AC886" s="130"/>
      <c r="AD886" s="128"/>
      <c r="AE886" s="129"/>
      <c r="AG886" s="130"/>
      <c r="AH886" s="128"/>
      <c r="AI886" s="129"/>
      <c r="AK886" s="130"/>
      <c r="AL886" s="128"/>
      <c r="AM886" s="129"/>
      <c r="AO886" s="130"/>
      <c r="AP886" s="128"/>
      <c r="AQ886" s="129"/>
      <c r="AS886" s="130"/>
      <c r="AT886" s="128"/>
      <c r="AU886" s="129"/>
      <c r="AW886" s="130"/>
      <c r="AX886" s="85"/>
      <c r="AY886" s="84"/>
      <c r="AZ886" s="84"/>
      <c r="BA886" s="131"/>
      <c r="BB886" s="84"/>
      <c r="BE886" s="84"/>
      <c r="BI886" s="86"/>
      <c r="BO886" s="84"/>
      <c r="BT886" s="84"/>
      <c r="BY886" s="84"/>
      <c r="CD886" s="84"/>
      <c r="CI886" s="128"/>
      <c r="CJ886" s="129"/>
      <c r="CL886" s="132"/>
      <c r="CM886" s="128"/>
      <c r="CN886" s="129"/>
      <c r="CP886" s="132"/>
      <c r="CQ886" s="128"/>
      <c r="CR886" s="129"/>
      <c r="CT886" s="132"/>
      <c r="CU886" s="128"/>
      <c r="CV886" s="129"/>
      <c r="CX886" s="132"/>
      <c r="CY886" s="128"/>
      <c r="CZ886" s="129"/>
      <c r="DB886" s="132"/>
      <c r="DC886" s="128"/>
      <c r="DD886" s="129"/>
      <c r="DF886" s="132"/>
      <c r="DG886" s="85"/>
      <c r="DH886" s="85"/>
      <c r="DI886" s="84"/>
      <c r="DK886" s="84"/>
      <c r="DP886" s="84"/>
      <c r="DU886" s="84"/>
      <c r="DY886" s="84"/>
      <c r="EC886" s="84"/>
      <c r="EG886" s="84"/>
      <c r="EK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128"/>
      <c r="AA887" s="129"/>
      <c r="AC887" s="130"/>
      <c r="AD887" s="128"/>
      <c r="AE887" s="129"/>
      <c r="AG887" s="130"/>
      <c r="AH887" s="128"/>
      <c r="AI887" s="129"/>
      <c r="AK887" s="130"/>
      <c r="AL887" s="128"/>
      <c r="AM887" s="129"/>
      <c r="AO887" s="130"/>
      <c r="AP887" s="128"/>
      <c r="AQ887" s="129"/>
      <c r="AS887" s="130"/>
      <c r="AT887" s="128"/>
      <c r="AU887" s="129"/>
      <c r="AW887" s="130"/>
      <c r="AX887" s="85"/>
      <c r="AY887" s="84"/>
      <c r="AZ887" s="84"/>
      <c r="BA887" s="131"/>
      <c r="BB887" s="84"/>
      <c r="BE887" s="84"/>
      <c r="BI887" s="86"/>
      <c r="BO887" s="84"/>
      <c r="BT887" s="84"/>
      <c r="BY887" s="84"/>
      <c r="CD887" s="84"/>
      <c r="CI887" s="128"/>
      <c r="CJ887" s="129"/>
      <c r="CL887" s="132"/>
      <c r="CM887" s="128"/>
      <c r="CN887" s="129"/>
      <c r="CP887" s="132"/>
      <c r="CQ887" s="128"/>
      <c r="CR887" s="129"/>
      <c r="CT887" s="132"/>
      <c r="CU887" s="128"/>
      <c r="CV887" s="129"/>
      <c r="CX887" s="132"/>
      <c r="CY887" s="128"/>
      <c r="CZ887" s="129"/>
      <c r="DB887" s="132"/>
      <c r="DC887" s="128"/>
      <c r="DD887" s="129"/>
      <c r="DF887" s="132"/>
      <c r="DG887" s="85"/>
      <c r="DH887" s="85"/>
      <c r="DI887" s="84"/>
      <c r="DK887" s="84"/>
      <c r="DP887" s="84"/>
      <c r="DU887" s="84"/>
      <c r="DY887" s="84"/>
      <c r="EC887" s="84"/>
      <c r="EG887" s="84"/>
      <c r="EK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128"/>
      <c r="AA888" s="129"/>
      <c r="AC888" s="130"/>
      <c r="AD888" s="128"/>
      <c r="AE888" s="129"/>
      <c r="AG888" s="130"/>
      <c r="AH888" s="128"/>
      <c r="AI888" s="129"/>
      <c r="AK888" s="130"/>
      <c r="AL888" s="128"/>
      <c r="AM888" s="129"/>
      <c r="AO888" s="130"/>
      <c r="AP888" s="128"/>
      <c r="AQ888" s="129"/>
      <c r="AS888" s="130"/>
      <c r="AT888" s="128"/>
      <c r="AU888" s="129"/>
      <c r="AW888" s="130"/>
      <c r="AX888" s="85"/>
      <c r="AY888" s="84"/>
      <c r="AZ888" s="84"/>
      <c r="BA888" s="131"/>
      <c r="BB888" s="84"/>
      <c r="BE888" s="84"/>
      <c r="BI888" s="86"/>
      <c r="BO888" s="84"/>
      <c r="BT888" s="84"/>
      <c r="BY888" s="84"/>
      <c r="CD888" s="84"/>
      <c r="CI888" s="128"/>
      <c r="CJ888" s="129"/>
      <c r="CL888" s="132"/>
      <c r="CM888" s="128"/>
      <c r="CN888" s="129"/>
      <c r="CP888" s="132"/>
      <c r="CQ888" s="128"/>
      <c r="CR888" s="129"/>
      <c r="CT888" s="132"/>
      <c r="CU888" s="128"/>
      <c r="CV888" s="129"/>
      <c r="CX888" s="132"/>
      <c r="CY888" s="128"/>
      <c r="CZ888" s="129"/>
      <c r="DB888" s="132"/>
      <c r="DC888" s="128"/>
      <c r="DD888" s="129"/>
      <c r="DF888" s="132"/>
      <c r="DG888" s="85"/>
      <c r="DH888" s="85"/>
      <c r="DI888" s="84"/>
      <c r="DK888" s="84"/>
      <c r="DP888" s="84"/>
      <c r="DU888" s="84"/>
      <c r="DY888" s="84"/>
      <c r="EC888" s="84"/>
      <c r="EG888" s="84"/>
      <c r="EK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128"/>
      <c r="AA889" s="129"/>
      <c r="AC889" s="130"/>
      <c r="AD889" s="128"/>
      <c r="AE889" s="129"/>
      <c r="AG889" s="130"/>
      <c r="AH889" s="128"/>
      <c r="AI889" s="129"/>
      <c r="AK889" s="130"/>
      <c r="AL889" s="128"/>
      <c r="AM889" s="129"/>
      <c r="AO889" s="130"/>
      <c r="AP889" s="128"/>
      <c r="AQ889" s="129"/>
      <c r="AS889" s="130"/>
      <c r="AT889" s="128"/>
      <c r="AU889" s="129"/>
      <c r="AW889" s="130"/>
      <c r="AX889" s="85"/>
      <c r="AY889" s="84"/>
      <c r="AZ889" s="84"/>
      <c r="BA889" s="131"/>
      <c r="BB889" s="84"/>
      <c r="BE889" s="84"/>
      <c r="BI889" s="86"/>
      <c r="BO889" s="84"/>
      <c r="BT889" s="84"/>
      <c r="BY889" s="84"/>
      <c r="CD889" s="84"/>
      <c r="CI889" s="128"/>
      <c r="CJ889" s="129"/>
      <c r="CL889" s="132"/>
      <c r="CM889" s="128"/>
      <c r="CN889" s="129"/>
      <c r="CP889" s="132"/>
      <c r="CQ889" s="128"/>
      <c r="CR889" s="129"/>
      <c r="CT889" s="132"/>
      <c r="CU889" s="128"/>
      <c r="CV889" s="129"/>
      <c r="CX889" s="132"/>
      <c r="CY889" s="128"/>
      <c r="CZ889" s="129"/>
      <c r="DB889" s="132"/>
      <c r="DC889" s="128"/>
      <c r="DD889" s="129"/>
      <c r="DF889" s="132"/>
      <c r="DG889" s="85"/>
      <c r="DH889" s="85"/>
      <c r="DI889" s="84"/>
      <c r="DK889" s="84"/>
      <c r="DP889" s="84"/>
      <c r="DU889" s="84"/>
      <c r="DY889" s="84"/>
      <c r="EC889" s="84"/>
      <c r="EG889" s="84"/>
      <c r="EK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128"/>
      <c r="AA890" s="129"/>
      <c r="AC890" s="130"/>
      <c r="AD890" s="128"/>
      <c r="AE890" s="129"/>
      <c r="AG890" s="130"/>
      <c r="AH890" s="128"/>
      <c r="AI890" s="129"/>
      <c r="AK890" s="130"/>
      <c r="AL890" s="128"/>
      <c r="AM890" s="129"/>
      <c r="AO890" s="130"/>
      <c r="AP890" s="128"/>
      <c r="AQ890" s="129"/>
      <c r="AS890" s="130"/>
      <c r="AT890" s="128"/>
      <c r="AU890" s="129"/>
      <c r="AW890" s="130"/>
      <c r="AX890" s="85"/>
      <c r="AY890" s="84"/>
      <c r="AZ890" s="84"/>
      <c r="BA890" s="131"/>
      <c r="BB890" s="84"/>
      <c r="BE890" s="84"/>
      <c r="BI890" s="86"/>
      <c r="BO890" s="84"/>
      <c r="BT890" s="84"/>
      <c r="BY890" s="84"/>
      <c r="CD890" s="84"/>
      <c r="CI890" s="128"/>
      <c r="CJ890" s="129"/>
      <c r="CL890" s="132"/>
      <c r="CM890" s="128"/>
      <c r="CN890" s="129"/>
      <c r="CP890" s="132"/>
      <c r="CQ890" s="128"/>
      <c r="CR890" s="129"/>
      <c r="CT890" s="132"/>
      <c r="CU890" s="128"/>
      <c r="CV890" s="129"/>
      <c r="CX890" s="132"/>
      <c r="CY890" s="128"/>
      <c r="CZ890" s="129"/>
      <c r="DB890" s="132"/>
      <c r="DC890" s="128"/>
      <c r="DD890" s="129"/>
      <c r="DF890" s="132"/>
      <c r="DG890" s="85"/>
      <c r="DH890" s="85"/>
      <c r="DI890" s="84"/>
      <c r="DK890" s="84"/>
      <c r="DP890" s="84"/>
      <c r="DU890" s="84"/>
      <c r="DY890" s="84"/>
      <c r="EC890" s="84"/>
      <c r="EG890" s="84"/>
      <c r="EK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128"/>
      <c r="AA891" s="129"/>
      <c r="AC891" s="130"/>
      <c r="AD891" s="128"/>
      <c r="AE891" s="129"/>
      <c r="AG891" s="130"/>
      <c r="AH891" s="128"/>
      <c r="AI891" s="129"/>
      <c r="AK891" s="130"/>
      <c r="AL891" s="128"/>
      <c r="AM891" s="129"/>
      <c r="AO891" s="130"/>
      <c r="AP891" s="128"/>
      <c r="AQ891" s="129"/>
      <c r="AS891" s="130"/>
      <c r="AT891" s="128"/>
      <c r="AU891" s="129"/>
      <c r="AW891" s="130"/>
      <c r="AX891" s="85"/>
      <c r="AY891" s="84"/>
      <c r="AZ891" s="84"/>
      <c r="BA891" s="131"/>
      <c r="BB891" s="84"/>
      <c r="BE891" s="84"/>
      <c r="BI891" s="86"/>
      <c r="BO891" s="84"/>
      <c r="BT891" s="84"/>
      <c r="BY891" s="84"/>
      <c r="CD891" s="84"/>
      <c r="CI891" s="128"/>
      <c r="CJ891" s="129"/>
      <c r="CL891" s="132"/>
      <c r="CM891" s="128"/>
      <c r="CN891" s="129"/>
      <c r="CP891" s="132"/>
      <c r="CQ891" s="128"/>
      <c r="CR891" s="129"/>
      <c r="CT891" s="132"/>
      <c r="CU891" s="128"/>
      <c r="CV891" s="129"/>
      <c r="CX891" s="132"/>
      <c r="CY891" s="128"/>
      <c r="CZ891" s="129"/>
      <c r="DB891" s="132"/>
      <c r="DC891" s="128"/>
      <c r="DD891" s="129"/>
      <c r="DF891" s="132"/>
      <c r="DG891" s="85"/>
      <c r="DH891" s="85"/>
      <c r="DI891" s="84"/>
      <c r="DK891" s="84"/>
      <c r="DP891" s="84"/>
      <c r="DU891" s="84"/>
      <c r="DY891" s="84"/>
      <c r="EC891" s="84"/>
      <c r="EG891" s="84"/>
      <c r="EK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128"/>
      <c r="AA892" s="129"/>
      <c r="AC892" s="130"/>
      <c r="AD892" s="128"/>
      <c r="AE892" s="129"/>
      <c r="AG892" s="130"/>
      <c r="AH892" s="128"/>
      <c r="AI892" s="129"/>
      <c r="AK892" s="130"/>
      <c r="AL892" s="128"/>
      <c r="AM892" s="129"/>
      <c r="AO892" s="130"/>
      <c r="AP892" s="128"/>
      <c r="AQ892" s="129"/>
      <c r="AS892" s="130"/>
      <c r="AT892" s="128"/>
      <c r="AU892" s="129"/>
      <c r="AW892" s="130"/>
      <c r="AX892" s="85"/>
      <c r="AY892" s="84"/>
      <c r="AZ892" s="84"/>
      <c r="BA892" s="131"/>
      <c r="BB892" s="84"/>
      <c r="BE892" s="84"/>
      <c r="BI892" s="86"/>
      <c r="BO892" s="84"/>
      <c r="BT892" s="84"/>
      <c r="BY892" s="84"/>
      <c r="CD892" s="84"/>
      <c r="CI892" s="128"/>
      <c r="CJ892" s="129"/>
      <c r="CL892" s="132"/>
      <c r="CM892" s="128"/>
      <c r="CN892" s="129"/>
      <c r="CP892" s="132"/>
      <c r="CQ892" s="128"/>
      <c r="CR892" s="129"/>
      <c r="CT892" s="132"/>
      <c r="CU892" s="128"/>
      <c r="CV892" s="129"/>
      <c r="CX892" s="132"/>
      <c r="CY892" s="128"/>
      <c r="CZ892" s="129"/>
      <c r="DB892" s="132"/>
      <c r="DC892" s="128"/>
      <c r="DD892" s="129"/>
      <c r="DF892" s="132"/>
      <c r="DG892" s="85"/>
      <c r="DH892" s="85"/>
      <c r="DI892" s="84"/>
      <c r="DK892" s="84"/>
      <c r="DP892" s="84"/>
      <c r="DU892" s="84"/>
      <c r="DY892" s="84"/>
      <c r="EC892" s="84"/>
      <c r="EG892" s="84"/>
      <c r="EK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128"/>
      <c r="AA893" s="129"/>
      <c r="AC893" s="130"/>
      <c r="AD893" s="128"/>
      <c r="AE893" s="129"/>
      <c r="AG893" s="130"/>
      <c r="AH893" s="128"/>
      <c r="AI893" s="129"/>
      <c r="AK893" s="130"/>
      <c r="AL893" s="128"/>
      <c r="AM893" s="129"/>
      <c r="AO893" s="130"/>
      <c r="AP893" s="128"/>
      <c r="AQ893" s="129"/>
      <c r="AS893" s="130"/>
      <c r="AT893" s="128"/>
      <c r="AU893" s="129"/>
      <c r="AW893" s="130"/>
      <c r="AX893" s="85"/>
      <c r="AY893" s="84"/>
      <c r="AZ893" s="84"/>
      <c r="BA893" s="131"/>
      <c r="BB893" s="84"/>
      <c r="BE893" s="84"/>
      <c r="BI893" s="86"/>
      <c r="BO893" s="84"/>
      <c r="BT893" s="84"/>
      <c r="BY893" s="84"/>
      <c r="CD893" s="84"/>
      <c r="CI893" s="128"/>
      <c r="CJ893" s="129"/>
      <c r="CL893" s="132"/>
      <c r="CM893" s="128"/>
      <c r="CN893" s="129"/>
      <c r="CP893" s="132"/>
      <c r="CQ893" s="128"/>
      <c r="CR893" s="129"/>
      <c r="CT893" s="132"/>
      <c r="CU893" s="128"/>
      <c r="CV893" s="129"/>
      <c r="CX893" s="132"/>
      <c r="CY893" s="128"/>
      <c r="CZ893" s="129"/>
      <c r="DB893" s="132"/>
      <c r="DC893" s="128"/>
      <c r="DD893" s="129"/>
      <c r="DF893" s="132"/>
      <c r="DG893" s="85"/>
      <c r="DH893" s="85"/>
      <c r="DI893" s="84"/>
      <c r="DK893" s="84"/>
      <c r="DP893" s="84"/>
      <c r="DU893" s="84"/>
      <c r="DY893" s="84"/>
      <c r="EC893" s="84"/>
      <c r="EG893" s="84"/>
      <c r="EK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128"/>
      <c r="AA894" s="129"/>
      <c r="AC894" s="130"/>
      <c r="AD894" s="128"/>
      <c r="AE894" s="129"/>
      <c r="AG894" s="130"/>
      <c r="AH894" s="128"/>
      <c r="AI894" s="129"/>
      <c r="AK894" s="130"/>
      <c r="AL894" s="128"/>
      <c r="AM894" s="129"/>
      <c r="AO894" s="130"/>
      <c r="AP894" s="128"/>
      <c r="AQ894" s="129"/>
      <c r="AS894" s="130"/>
      <c r="AT894" s="128"/>
      <c r="AU894" s="129"/>
      <c r="AW894" s="130"/>
      <c r="AX894" s="85"/>
      <c r="AY894" s="84"/>
      <c r="AZ894" s="84"/>
      <c r="BA894" s="131"/>
      <c r="BB894" s="84"/>
      <c r="BE894" s="84"/>
      <c r="BI894" s="86"/>
      <c r="BO894" s="84"/>
      <c r="BT894" s="84"/>
      <c r="BY894" s="84"/>
      <c r="CD894" s="84"/>
      <c r="CI894" s="128"/>
      <c r="CJ894" s="129"/>
      <c r="CL894" s="132"/>
      <c r="CM894" s="128"/>
      <c r="CN894" s="129"/>
      <c r="CP894" s="132"/>
      <c r="CQ894" s="128"/>
      <c r="CR894" s="129"/>
      <c r="CT894" s="132"/>
      <c r="CU894" s="128"/>
      <c r="CV894" s="129"/>
      <c r="CX894" s="132"/>
      <c r="CY894" s="128"/>
      <c r="CZ894" s="129"/>
      <c r="DB894" s="132"/>
      <c r="DC894" s="128"/>
      <c r="DD894" s="129"/>
      <c r="DF894" s="132"/>
      <c r="DG894" s="85"/>
      <c r="DH894" s="85"/>
      <c r="DI894" s="84"/>
      <c r="DK894" s="84"/>
      <c r="DP894" s="84"/>
      <c r="DU894" s="84"/>
      <c r="DY894" s="84"/>
      <c r="EC894" s="84"/>
      <c r="EG894" s="84"/>
      <c r="EK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128"/>
      <c r="AA895" s="129"/>
      <c r="AC895" s="130"/>
      <c r="AD895" s="128"/>
      <c r="AE895" s="129"/>
      <c r="AG895" s="130"/>
      <c r="AH895" s="128"/>
      <c r="AI895" s="129"/>
      <c r="AK895" s="130"/>
      <c r="AL895" s="128"/>
      <c r="AM895" s="129"/>
      <c r="AO895" s="130"/>
      <c r="AP895" s="128"/>
      <c r="AQ895" s="129"/>
      <c r="AS895" s="130"/>
      <c r="AT895" s="128"/>
      <c r="AU895" s="129"/>
      <c r="AW895" s="130"/>
      <c r="AX895" s="85"/>
      <c r="AY895" s="84"/>
      <c r="AZ895" s="84"/>
      <c r="BA895" s="131"/>
      <c r="BB895" s="84"/>
      <c r="BE895" s="84"/>
      <c r="BI895" s="86"/>
      <c r="BO895" s="84"/>
      <c r="BT895" s="84"/>
      <c r="BY895" s="84"/>
      <c r="CD895" s="84"/>
      <c r="CI895" s="128"/>
      <c r="CJ895" s="129"/>
      <c r="CL895" s="132"/>
      <c r="CM895" s="128"/>
      <c r="CN895" s="129"/>
      <c r="CP895" s="132"/>
      <c r="CQ895" s="128"/>
      <c r="CR895" s="129"/>
      <c r="CT895" s="132"/>
      <c r="CU895" s="128"/>
      <c r="CV895" s="129"/>
      <c r="CX895" s="132"/>
      <c r="CY895" s="128"/>
      <c r="CZ895" s="129"/>
      <c r="DB895" s="132"/>
      <c r="DC895" s="128"/>
      <c r="DD895" s="129"/>
      <c r="DF895" s="132"/>
      <c r="DG895" s="85"/>
      <c r="DH895" s="85"/>
      <c r="DI895" s="84"/>
      <c r="DK895" s="84"/>
      <c r="DP895" s="84"/>
      <c r="DU895" s="84"/>
      <c r="DY895" s="84"/>
      <c r="EC895" s="84"/>
      <c r="EG895" s="84"/>
      <c r="EK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128"/>
      <c r="AA896" s="129"/>
      <c r="AC896" s="130"/>
      <c r="AD896" s="128"/>
      <c r="AE896" s="129"/>
      <c r="AG896" s="130"/>
      <c r="AH896" s="128"/>
      <c r="AI896" s="129"/>
      <c r="AK896" s="130"/>
      <c r="AL896" s="128"/>
      <c r="AM896" s="129"/>
      <c r="AO896" s="130"/>
      <c r="AP896" s="128"/>
      <c r="AQ896" s="129"/>
      <c r="AS896" s="130"/>
      <c r="AT896" s="128"/>
      <c r="AU896" s="129"/>
      <c r="AW896" s="130"/>
      <c r="AX896" s="85"/>
      <c r="AY896" s="84"/>
      <c r="AZ896" s="84"/>
      <c r="BA896" s="131"/>
      <c r="BB896" s="84"/>
      <c r="BE896" s="84"/>
      <c r="BI896" s="86"/>
      <c r="BO896" s="84"/>
      <c r="BT896" s="84"/>
      <c r="BY896" s="84"/>
      <c r="CD896" s="84"/>
      <c r="CI896" s="128"/>
      <c r="CJ896" s="129"/>
      <c r="CL896" s="132"/>
      <c r="CM896" s="128"/>
      <c r="CN896" s="129"/>
      <c r="CP896" s="132"/>
      <c r="CQ896" s="128"/>
      <c r="CR896" s="129"/>
      <c r="CT896" s="132"/>
      <c r="CU896" s="128"/>
      <c r="CV896" s="129"/>
      <c r="CX896" s="132"/>
      <c r="CY896" s="128"/>
      <c r="CZ896" s="129"/>
      <c r="DB896" s="132"/>
      <c r="DC896" s="128"/>
      <c r="DD896" s="129"/>
      <c r="DF896" s="132"/>
      <c r="DG896" s="85"/>
      <c r="DH896" s="85"/>
      <c r="DI896" s="84"/>
      <c r="DK896" s="84"/>
      <c r="DP896" s="84"/>
      <c r="DU896" s="84"/>
      <c r="DY896" s="84"/>
      <c r="EC896" s="84"/>
      <c r="EG896" s="84"/>
      <c r="EK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128"/>
      <c r="AA897" s="129"/>
      <c r="AC897" s="130"/>
      <c r="AD897" s="128"/>
      <c r="AE897" s="129"/>
      <c r="AG897" s="130"/>
      <c r="AH897" s="128"/>
      <c r="AI897" s="129"/>
      <c r="AK897" s="130"/>
      <c r="AL897" s="128"/>
      <c r="AM897" s="129"/>
      <c r="AO897" s="130"/>
      <c r="AP897" s="128"/>
      <c r="AQ897" s="129"/>
      <c r="AS897" s="130"/>
      <c r="AT897" s="128"/>
      <c r="AU897" s="129"/>
      <c r="AW897" s="130"/>
      <c r="AX897" s="85"/>
      <c r="AY897" s="84"/>
      <c r="AZ897" s="84"/>
      <c r="BA897" s="131"/>
      <c r="BB897" s="84"/>
      <c r="BE897" s="84"/>
      <c r="BI897" s="86"/>
      <c r="BO897" s="84"/>
      <c r="BT897" s="84"/>
      <c r="BY897" s="84"/>
      <c r="CD897" s="84"/>
      <c r="CI897" s="128"/>
      <c r="CJ897" s="129"/>
      <c r="CL897" s="132"/>
      <c r="CM897" s="128"/>
      <c r="CN897" s="129"/>
      <c r="CP897" s="132"/>
      <c r="CQ897" s="128"/>
      <c r="CR897" s="129"/>
      <c r="CT897" s="132"/>
      <c r="CU897" s="128"/>
      <c r="CV897" s="129"/>
      <c r="CX897" s="132"/>
      <c r="CY897" s="128"/>
      <c r="CZ897" s="129"/>
      <c r="DB897" s="132"/>
      <c r="DC897" s="128"/>
      <c r="DD897" s="129"/>
      <c r="DF897" s="132"/>
      <c r="DG897" s="85"/>
      <c r="DH897" s="85"/>
      <c r="DI897" s="84"/>
      <c r="DK897" s="84"/>
      <c r="DP897" s="84"/>
      <c r="DU897" s="84"/>
      <c r="DY897" s="84"/>
      <c r="EC897" s="84"/>
      <c r="EG897" s="84"/>
      <c r="EK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128"/>
      <c r="AA898" s="129"/>
      <c r="AC898" s="130"/>
      <c r="AD898" s="128"/>
      <c r="AE898" s="129"/>
      <c r="AG898" s="130"/>
      <c r="AH898" s="128"/>
      <c r="AI898" s="129"/>
      <c r="AK898" s="130"/>
      <c r="AL898" s="128"/>
      <c r="AM898" s="129"/>
      <c r="AO898" s="130"/>
      <c r="AP898" s="128"/>
      <c r="AQ898" s="129"/>
      <c r="AS898" s="130"/>
      <c r="AT898" s="128"/>
      <c r="AU898" s="129"/>
      <c r="AW898" s="130"/>
      <c r="AX898" s="85"/>
      <c r="AY898" s="84"/>
      <c r="AZ898" s="84"/>
      <c r="BA898" s="131"/>
      <c r="BB898" s="84"/>
      <c r="BE898" s="84"/>
      <c r="BI898" s="86"/>
      <c r="BO898" s="84"/>
      <c r="BT898" s="84"/>
      <c r="BY898" s="84"/>
      <c r="CD898" s="84"/>
      <c r="CI898" s="128"/>
      <c r="CJ898" s="129"/>
      <c r="CL898" s="132"/>
      <c r="CM898" s="128"/>
      <c r="CN898" s="129"/>
      <c r="CP898" s="132"/>
      <c r="CQ898" s="128"/>
      <c r="CR898" s="129"/>
      <c r="CT898" s="132"/>
      <c r="CU898" s="128"/>
      <c r="CV898" s="129"/>
      <c r="CX898" s="132"/>
      <c r="CY898" s="128"/>
      <c r="CZ898" s="129"/>
      <c r="DB898" s="132"/>
      <c r="DC898" s="128"/>
      <c r="DD898" s="129"/>
      <c r="DF898" s="132"/>
      <c r="DG898" s="85"/>
      <c r="DH898" s="85"/>
      <c r="DI898" s="84"/>
      <c r="DK898" s="84"/>
      <c r="DP898" s="84"/>
      <c r="DU898" s="84"/>
      <c r="DY898" s="84"/>
      <c r="EC898" s="84"/>
      <c r="EG898" s="84"/>
      <c r="EK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128"/>
      <c r="AA899" s="129"/>
      <c r="AC899" s="130"/>
      <c r="AD899" s="128"/>
      <c r="AE899" s="129"/>
      <c r="AG899" s="130"/>
      <c r="AH899" s="128"/>
      <c r="AI899" s="129"/>
      <c r="AK899" s="130"/>
      <c r="AL899" s="128"/>
      <c r="AM899" s="129"/>
      <c r="AO899" s="130"/>
      <c r="AP899" s="128"/>
      <c r="AQ899" s="129"/>
      <c r="AS899" s="130"/>
      <c r="AT899" s="128"/>
      <c r="AU899" s="129"/>
      <c r="AW899" s="130"/>
      <c r="AX899" s="85"/>
      <c r="AY899" s="84"/>
      <c r="AZ899" s="84"/>
      <c r="BA899" s="131"/>
      <c r="BB899" s="84"/>
      <c r="BE899" s="84"/>
      <c r="BI899" s="86"/>
      <c r="BO899" s="84"/>
      <c r="BT899" s="84"/>
      <c r="BY899" s="84"/>
      <c r="CD899" s="84"/>
      <c r="CI899" s="128"/>
      <c r="CJ899" s="129"/>
      <c r="CL899" s="132"/>
      <c r="CM899" s="128"/>
      <c r="CN899" s="129"/>
      <c r="CP899" s="132"/>
      <c r="CQ899" s="128"/>
      <c r="CR899" s="129"/>
      <c r="CT899" s="132"/>
      <c r="CU899" s="128"/>
      <c r="CV899" s="129"/>
      <c r="CX899" s="132"/>
      <c r="CY899" s="128"/>
      <c r="CZ899" s="129"/>
      <c r="DB899" s="132"/>
      <c r="DC899" s="128"/>
      <c r="DD899" s="129"/>
      <c r="DF899" s="132"/>
      <c r="DG899" s="85"/>
      <c r="DH899" s="85"/>
      <c r="DI899" s="84"/>
      <c r="DK899" s="84"/>
      <c r="DP899" s="84"/>
      <c r="DU899" s="84"/>
      <c r="DY899" s="84"/>
      <c r="EC899" s="84"/>
      <c r="EG899" s="84"/>
      <c r="EK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128"/>
      <c r="AA900" s="129"/>
      <c r="AC900" s="130"/>
      <c r="AD900" s="128"/>
      <c r="AE900" s="129"/>
      <c r="AG900" s="130"/>
      <c r="AH900" s="128"/>
      <c r="AI900" s="129"/>
      <c r="AK900" s="130"/>
      <c r="AL900" s="128"/>
      <c r="AM900" s="129"/>
      <c r="AO900" s="130"/>
      <c r="AP900" s="128"/>
      <c r="AQ900" s="129"/>
      <c r="AS900" s="130"/>
      <c r="AT900" s="128"/>
      <c r="AU900" s="129"/>
      <c r="AW900" s="130"/>
      <c r="AX900" s="85"/>
      <c r="AY900" s="84"/>
      <c r="AZ900" s="84"/>
      <c r="BA900" s="131"/>
      <c r="BB900" s="84"/>
      <c r="BE900" s="84"/>
      <c r="BI900" s="86"/>
      <c r="BO900" s="84"/>
      <c r="BT900" s="84"/>
      <c r="BY900" s="84"/>
      <c r="CD900" s="84"/>
      <c r="CI900" s="128"/>
      <c r="CJ900" s="129"/>
      <c r="CL900" s="132"/>
      <c r="CM900" s="128"/>
      <c r="CN900" s="129"/>
      <c r="CP900" s="132"/>
      <c r="CQ900" s="128"/>
      <c r="CR900" s="129"/>
      <c r="CT900" s="132"/>
      <c r="CU900" s="128"/>
      <c r="CV900" s="129"/>
      <c r="CX900" s="132"/>
      <c r="CY900" s="128"/>
      <c r="CZ900" s="129"/>
      <c r="DB900" s="132"/>
      <c r="DC900" s="128"/>
      <c r="DD900" s="129"/>
      <c r="DF900" s="132"/>
      <c r="DG900" s="85"/>
      <c r="DH900" s="85"/>
      <c r="DI900" s="84"/>
      <c r="DK900" s="84"/>
      <c r="DP900" s="84"/>
      <c r="DU900" s="84"/>
      <c r="DY900" s="84"/>
      <c r="EC900" s="84"/>
      <c r="EG900" s="84"/>
      <c r="EK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128"/>
      <c r="AA901" s="129"/>
      <c r="AC901" s="130"/>
      <c r="AD901" s="128"/>
      <c r="AE901" s="129"/>
      <c r="AG901" s="130"/>
      <c r="AH901" s="128"/>
      <c r="AI901" s="129"/>
      <c r="AK901" s="130"/>
      <c r="AL901" s="128"/>
      <c r="AM901" s="129"/>
      <c r="AO901" s="130"/>
      <c r="AP901" s="128"/>
      <c r="AQ901" s="129"/>
      <c r="AS901" s="130"/>
      <c r="AT901" s="128"/>
      <c r="AU901" s="129"/>
      <c r="AW901" s="130"/>
      <c r="AX901" s="85"/>
      <c r="AY901" s="84"/>
      <c r="AZ901" s="84"/>
      <c r="BA901" s="131"/>
      <c r="BB901" s="84"/>
      <c r="BE901" s="84"/>
      <c r="BI901" s="86"/>
      <c r="BO901" s="84"/>
      <c r="BT901" s="84"/>
      <c r="BY901" s="84"/>
      <c r="CD901" s="84"/>
      <c r="CI901" s="128"/>
      <c r="CJ901" s="129"/>
      <c r="CL901" s="132"/>
      <c r="CM901" s="128"/>
      <c r="CN901" s="129"/>
      <c r="CP901" s="132"/>
      <c r="CQ901" s="128"/>
      <c r="CR901" s="129"/>
      <c r="CT901" s="132"/>
      <c r="CU901" s="128"/>
      <c r="CV901" s="129"/>
      <c r="CX901" s="132"/>
      <c r="CY901" s="128"/>
      <c r="CZ901" s="129"/>
      <c r="DB901" s="132"/>
      <c r="DC901" s="128"/>
      <c r="DD901" s="129"/>
      <c r="DF901" s="132"/>
      <c r="DG901" s="85"/>
      <c r="DH901" s="85"/>
      <c r="DI901" s="84"/>
      <c r="DK901" s="84"/>
      <c r="DP901" s="84"/>
      <c r="DU901" s="84"/>
      <c r="DY901" s="84"/>
      <c r="EC901" s="84"/>
      <c r="EG901" s="84"/>
      <c r="EK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128"/>
      <c r="AA902" s="129"/>
      <c r="AC902" s="130"/>
      <c r="AD902" s="128"/>
      <c r="AE902" s="129"/>
      <c r="AG902" s="130"/>
      <c r="AH902" s="128"/>
      <c r="AI902" s="129"/>
      <c r="AK902" s="130"/>
      <c r="AL902" s="128"/>
      <c r="AM902" s="129"/>
      <c r="AO902" s="130"/>
      <c r="AP902" s="128"/>
      <c r="AQ902" s="129"/>
      <c r="AS902" s="130"/>
      <c r="AT902" s="128"/>
      <c r="AU902" s="129"/>
      <c r="AW902" s="130"/>
      <c r="AX902" s="85"/>
      <c r="AY902" s="84"/>
      <c r="AZ902" s="84"/>
      <c r="BA902" s="131"/>
      <c r="BB902" s="84"/>
      <c r="BE902" s="84"/>
      <c r="BI902" s="86"/>
      <c r="BO902" s="84"/>
      <c r="BT902" s="84"/>
      <c r="BY902" s="84"/>
      <c r="CD902" s="84"/>
      <c r="CI902" s="128"/>
      <c r="CJ902" s="129"/>
      <c r="CL902" s="132"/>
      <c r="CM902" s="128"/>
      <c r="CN902" s="129"/>
      <c r="CP902" s="132"/>
      <c r="CQ902" s="128"/>
      <c r="CR902" s="129"/>
      <c r="CT902" s="132"/>
      <c r="CU902" s="128"/>
      <c r="CV902" s="129"/>
      <c r="CX902" s="132"/>
      <c r="CY902" s="128"/>
      <c r="CZ902" s="129"/>
      <c r="DB902" s="132"/>
      <c r="DC902" s="128"/>
      <c r="DD902" s="129"/>
      <c r="DF902" s="132"/>
      <c r="DG902" s="85"/>
      <c r="DH902" s="85"/>
      <c r="DI902" s="84"/>
      <c r="DK902" s="84"/>
      <c r="DP902" s="84"/>
      <c r="DU902" s="84"/>
      <c r="DY902" s="84"/>
      <c r="EC902" s="84"/>
      <c r="EG902" s="84"/>
      <c r="EK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128"/>
      <c r="AA903" s="129"/>
      <c r="AC903" s="130"/>
      <c r="AD903" s="128"/>
      <c r="AE903" s="129"/>
      <c r="AG903" s="130"/>
      <c r="AH903" s="128"/>
      <c r="AI903" s="129"/>
      <c r="AK903" s="130"/>
      <c r="AL903" s="128"/>
      <c r="AM903" s="129"/>
      <c r="AO903" s="130"/>
      <c r="AP903" s="128"/>
      <c r="AQ903" s="129"/>
      <c r="AS903" s="130"/>
      <c r="AT903" s="128"/>
      <c r="AU903" s="129"/>
      <c r="AW903" s="130"/>
      <c r="AX903" s="85"/>
      <c r="AY903" s="84"/>
      <c r="AZ903" s="84"/>
      <c r="BA903" s="131"/>
      <c r="BB903" s="84"/>
      <c r="BE903" s="84"/>
      <c r="BI903" s="86"/>
      <c r="BO903" s="84"/>
      <c r="BT903" s="84"/>
      <c r="BY903" s="84"/>
      <c r="CD903" s="84"/>
      <c r="CI903" s="128"/>
      <c r="CJ903" s="129"/>
      <c r="CL903" s="132"/>
      <c r="CM903" s="128"/>
      <c r="CN903" s="129"/>
      <c r="CP903" s="132"/>
      <c r="CQ903" s="128"/>
      <c r="CR903" s="129"/>
      <c r="CT903" s="132"/>
      <c r="CU903" s="128"/>
      <c r="CV903" s="129"/>
      <c r="CX903" s="132"/>
      <c r="CY903" s="128"/>
      <c r="CZ903" s="129"/>
      <c r="DB903" s="132"/>
      <c r="DC903" s="128"/>
      <c r="DD903" s="129"/>
      <c r="DF903" s="132"/>
      <c r="DG903" s="85"/>
      <c r="DH903" s="85"/>
      <c r="DI903" s="84"/>
      <c r="DK903" s="84"/>
      <c r="DP903" s="84"/>
      <c r="DU903" s="84"/>
      <c r="DY903" s="84"/>
      <c r="EC903" s="84"/>
      <c r="EG903" s="84"/>
      <c r="EK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128"/>
      <c r="AA904" s="129"/>
      <c r="AC904" s="130"/>
      <c r="AD904" s="128"/>
      <c r="AE904" s="129"/>
      <c r="AG904" s="130"/>
      <c r="AH904" s="128"/>
      <c r="AI904" s="129"/>
      <c r="AK904" s="130"/>
      <c r="AL904" s="128"/>
      <c r="AM904" s="129"/>
      <c r="AO904" s="130"/>
      <c r="AP904" s="128"/>
      <c r="AQ904" s="129"/>
      <c r="AS904" s="130"/>
      <c r="AT904" s="128"/>
      <c r="AU904" s="129"/>
      <c r="AW904" s="130"/>
      <c r="AX904" s="85"/>
      <c r="AY904" s="84"/>
      <c r="AZ904" s="84"/>
      <c r="BA904" s="131"/>
      <c r="BB904" s="84"/>
      <c r="BE904" s="84"/>
      <c r="BI904" s="86"/>
      <c r="BO904" s="84"/>
      <c r="BT904" s="84"/>
      <c r="BY904" s="84"/>
      <c r="CD904" s="84"/>
      <c r="CI904" s="128"/>
      <c r="CJ904" s="129"/>
      <c r="CL904" s="132"/>
      <c r="CM904" s="128"/>
      <c r="CN904" s="129"/>
      <c r="CP904" s="132"/>
      <c r="CQ904" s="128"/>
      <c r="CR904" s="129"/>
      <c r="CT904" s="132"/>
      <c r="CU904" s="128"/>
      <c r="CV904" s="129"/>
      <c r="CX904" s="132"/>
      <c r="CY904" s="128"/>
      <c r="CZ904" s="129"/>
      <c r="DB904" s="132"/>
      <c r="DC904" s="128"/>
      <c r="DD904" s="129"/>
      <c r="DF904" s="132"/>
      <c r="DG904" s="85"/>
      <c r="DH904" s="85"/>
      <c r="DI904" s="84"/>
      <c r="DK904" s="84"/>
      <c r="DP904" s="84"/>
      <c r="DU904" s="84"/>
      <c r="DY904" s="84"/>
      <c r="EC904" s="84"/>
      <c r="EG904" s="84"/>
      <c r="EK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128"/>
      <c r="AA905" s="129"/>
      <c r="AC905" s="130"/>
      <c r="AD905" s="128"/>
      <c r="AE905" s="129"/>
      <c r="AG905" s="130"/>
      <c r="AH905" s="128"/>
      <c r="AI905" s="129"/>
      <c r="AK905" s="130"/>
      <c r="AL905" s="128"/>
      <c r="AM905" s="129"/>
      <c r="AO905" s="130"/>
      <c r="AP905" s="128"/>
      <c r="AQ905" s="129"/>
      <c r="AS905" s="130"/>
      <c r="AT905" s="128"/>
      <c r="AU905" s="129"/>
      <c r="AW905" s="130"/>
      <c r="AX905" s="85"/>
      <c r="AY905" s="84"/>
      <c r="AZ905" s="84"/>
      <c r="BA905" s="131"/>
      <c r="BB905" s="84"/>
      <c r="BE905" s="84"/>
      <c r="BI905" s="86"/>
      <c r="BO905" s="84"/>
      <c r="BT905" s="84"/>
      <c r="BY905" s="84"/>
      <c r="CD905" s="84"/>
      <c r="CI905" s="128"/>
      <c r="CJ905" s="129"/>
      <c r="CL905" s="132"/>
      <c r="CM905" s="128"/>
      <c r="CN905" s="129"/>
      <c r="CP905" s="132"/>
      <c r="CQ905" s="128"/>
      <c r="CR905" s="129"/>
      <c r="CT905" s="132"/>
      <c r="CU905" s="128"/>
      <c r="CV905" s="129"/>
      <c r="CX905" s="132"/>
      <c r="CY905" s="128"/>
      <c r="CZ905" s="129"/>
      <c r="DB905" s="132"/>
      <c r="DC905" s="128"/>
      <c r="DD905" s="129"/>
      <c r="DF905" s="132"/>
      <c r="DG905" s="85"/>
      <c r="DH905" s="85"/>
      <c r="DI905" s="84"/>
      <c r="DK905" s="84"/>
      <c r="DP905" s="84"/>
      <c r="DU905" s="84"/>
      <c r="DY905" s="84"/>
      <c r="EC905" s="84"/>
      <c r="EG905" s="84"/>
      <c r="EK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128"/>
      <c r="AA906" s="129"/>
      <c r="AC906" s="130"/>
      <c r="AD906" s="128"/>
      <c r="AE906" s="129"/>
      <c r="AG906" s="130"/>
      <c r="AH906" s="128"/>
      <c r="AI906" s="129"/>
      <c r="AK906" s="130"/>
      <c r="AL906" s="128"/>
      <c r="AM906" s="129"/>
      <c r="AO906" s="130"/>
      <c r="AP906" s="128"/>
      <c r="AQ906" s="129"/>
      <c r="AS906" s="130"/>
      <c r="AT906" s="128"/>
      <c r="AU906" s="129"/>
      <c r="AW906" s="130"/>
      <c r="AX906" s="85"/>
      <c r="AY906" s="84"/>
      <c r="AZ906" s="84"/>
      <c r="BA906" s="131"/>
      <c r="BB906" s="84"/>
      <c r="BE906" s="84"/>
      <c r="BI906" s="86"/>
      <c r="BO906" s="84"/>
      <c r="BT906" s="84"/>
      <c r="BY906" s="84"/>
      <c r="CD906" s="84"/>
      <c r="CI906" s="128"/>
      <c r="CJ906" s="129"/>
      <c r="CL906" s="132"/>
      <c r="CM906" s="128"/>
      <c r="CN906" s="129"/>
      <c r="CP906" s="132"/>
      <c r="CQ906" s="128"/>
      <c r="CR906" s="129"/>
      <c r="CT906" s="132"/>
      <c r="CU906" s="128"/>
      <c r="CV906" s="129"/>
      <c r="CX906" s="132"/>
      <c r="CY906" s="128"/>
      <c r="CZ906" s="129"/>
      <c r="DB906" s="132"/>
      <c r="DC906" s="128"/>
      <c r="DD906" s="129"/>
      <c r="DF906" s="132"/>
      <c r="DG906" s="85"/>
      <c r="DH906" s="85"/>
      <c r="DI906" s="84"/>
      <c r="DK906" s="84"/>
      <c r="DP906" s="84"/>
      <c r="DU906" s="84"/>
      <c r="DY906" s="84"/>
      <c r="EC906" s="84"/>
      <c r="EG906" s="84"/>
      <c r="EK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128"/>
      <c r="AA907" s="129"/>
      <c r="AC907" s="130"/>
      <c r="AD907" s="128"/>
      <c r="AE907" s="129"/>
      <c r="AG907" s="130"/>
      <c r="AH907" s="128"/>
      <c r="AI907" s="129"/>
      <c r="AK907" s="130"/>
      <c r="AL907" s="128"/>
      <c r="AM907" s="129"/>
      <c r="AO907" s="130"/>
      <c r="AP907" s="128"/>
      <c r="AQ907" s="129"/>
      <c r="AS907" s="130"/>
      <c r="AT907" s="128"/>
      <c r="AU907" s="129"/>
      <c r="AW907" s="130"/>
      <c r="AX907" s="85"/>
      <c r="AY907" s="84"/>
      <c r="AZ907" s="84"/>
      <c r="BA907" s="131"/>
      <c r="BB907" s="84"/>
      <c r="BE907" s="84"/>
      <c r="BI907" s="86"/>
      <c r="BO907" s="84"/>
      <c r="BT907" s="84"/>
      <c r="BY907" s="84"/>
      <c r="CD907" s="84"/>
      <c r="CI907" s="128"/>
      <c r="CJ907" s="129"/>
      <c r="CL907" s="132"/>
      <c r="CM907" s="128"/>
      <c r="CN907" s="129"/>
      <c r="CP907" s="132"/>
      <c r="CQ907" s="128"/>
      <c r="CR907" s="129"/>
      <c r="CT907" s="132"/>
      <c r="CU907" s="128"/>
      <c r="CV907" s="129"/>
      <c r="CX907" s="132"/>
      <c r="CY907" s="128"/>
      <c r="CZ907" s="129"/>
      <c r="DB907" s="132"/>
      <c r="DC907" s="128"/>
      <c r="DD907" s="129"/>
      <c r="DF907" s="132"/>
      <c r="DG907" s="85"/>
      <c r="DH907" s="85"/>
      <c r="DI907" s="84"/>
      <c r="DK907" s="84"/>
      <c r="DP907" s="84"/>
      <c r="DU907" s="84"/>
      <c r="DY907" s="84"/>
      <c r="EC907" s="84"/>
      <c r="EG907" s="84"/>
      <c r="EK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128"/>
      <c r="AA908" s="129"/>
      <c r="AC908" s="130"/>
      <c r="AD908" s="128"/>
      <c r="AE908" s="129"/>
      <c r="AG908" s="130"/>
      <c r="AH908" s="128"/>
      <c r="AI908" s="129"/>
      <c r="AK908" s="130"/>
      <c r="AL908" s="128"/>
      <c r="AM908" s="129"/>
      <c r="AO908" s="130"/>
      <c r="AP908" s="128"/>
      <c r="AQ908" s="129"/>
      <c r="AS908" s="130"/>
      <c r="AT908" s="128"/>
      <c r="AU908" s="129"/>
      <c r="AW908" s="130"/>
      <c r="AX908" s="85"/>
      <c r="AY908" s="84"/>
      <c r="AZ908" s="84"/>
      <c r="BA908" s="131"/>
      <c r="BB908" s="84"/>
      <c r="BE908" s="84"/>
      <c r="BI908" s="86"/>
      <c r="BO908" s="84"/>
      <c r="BT908" s="84"/>
      <c r="BY908" s="84"/>
      <c r="CD908" s="84"/>
      <c r="CI908" s="128"/>
      <c r="CJ908" s="129"/>
      <c r="CL908" s="132"/>
      <c r="CM908" s="128"/>
      <c r="CN908" s="129"/>
      <c r="CP908" s="132"/>
      <c r="CQ908" s="128"/>
      <c r="CR908" s="129"/>
      <c r="CT908" s="132"/>
      <c r="CU908" s="128"/>
      <c r="CV908" s="129"/>
      <c r="CX908" s="132"/>
      <c r="CY908" s="128"/>
      <c r="CZ908" s="129"/>
      <c r="DB908" s="132"/>
      <c r="DC908" s="128"/>
      <c r="DD908" s="129"/>
      <c r="DF908" s="132"/>
      <c r="DG908" s="85"/>
      <c r="DH908" s="85"/>
      <c r="DI908" s="84"/>
      <c r="DK908" s="84"/>
      <c r="DP908" s="84"/>
      <c r="DU908" s="84"/>
      <c r="DY908" s="84"/>
      <c r="EC908" s="84"/>
      <c r="EG908" s="84"/>
      <c r="EK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128"/>
      <c r="AA909" s="129"/>
      <c r="AC909" s="130"/>
      <c r="AD909" s="128"/>
      <c r="AE909" s="129"/>
      <c r="AG909" s="130"/>
      <c r="AH909" s="128"/>
      <c r="AI909" s="129"/>
      <c r="AK909" s="130"/>
      <c r="AL909" s="128"/>
      <c r="AM909" s="129"/>
      <c r="AO909" s="130"/>
      <c r="AP909" s="128"/>
      <c r="AQ909" s="129"/>
      <c r="AS909" s="130"/>
      <c r="AT909" s="128"/>
      <c r="AU909" s="129"/>
      <c r="AW909" s="130"/>
      <c r="AX909" s="85"/>
      <c r="AY909" s="84"/>
      <c r="AZ909" s="84"/>
      <c r="BA909" s="131"/>
      <c r="BB909" s="84"/>
      <c r="BE909" s="84"/>
      <c r="BI909" s="86"/>
      <c r="BO909" s="84"/>
      <c r="BT909" s="84"/>
      <c r="BY909" s="84"/>
      <c r="CD909" s="84"/>
      <c r="CI909" s="128"/>
      <c r="CJ909" s="129"/>
      <c r="CL909" s="132"/>
      <c r="CM909" s="128"/>
      <c r="CN909" s="129"/>
      <c r="CP909" s="132"/>
      <c r="CQ909" s="128"/>
      <c r="CR909" s="129"/>
      <c r="CT909" s="132"/>
      <c r="CU909" s="128"/>
      <c r="CV909" s="129"/>
      <c r="CX909" s="132"/>
      <c r="CY909" s="128"/>
      <c r="CZ909" s="129"/>
      <c r="DB909" s="132"/>
      <c r="DC909" s="128"/>
      <c r="DD909" s="129"/>
      <c r="DF909" s="132"/>
      <c r="DG909" s="85"/>
      <c r="DH909" s="85"/>
      <c r="DI909" s="84"/>
      <c r="DK909" s="84"/>
      <c r="DP909" s="84"/>
      <c r="DU909" s="84"/>
      <c r="DY909" s="84"/>
      <c r="EC909" s="84"/>
      <c r="EG909" s="84"/>
      <c r="EK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128"/>
      <c r="AA910" s="129"/>
      <c r="AC910" s="130"/>
      <c r="AD910" s="128"/>
      <c r="AE910" s="129"/>
      <c r="AG910" s="130"/>
      <c r="AH910" s="128"/>
      <c r="AI910" s="129"/>
      <c r="AK910" s="130"/>
      <c r="AL910" s="128"/>
      <c r="AM910" s="129"/>
      <c r="AO910" s="130"/>
      <c r="AP910" s="128"/>
      <c r="AQ910" s="129"/>
      <c r="AS910" s="130"/>
      <c r="AT910" s="128"/>
      <c r="AU910" s="129"/>
      <c r="AW910" s="130"/>
      <c r="AX910" s="85"/>
      <c r="AY910" s="84"/>
      <c r="AZ910" s="84"/>
      <c r="BA910" s="131"/>
      <c r="BB910" s="84"/>
      <c r="BE910" s="84"/>
      <c r="BI910" s="86"/>
      <c r="BO910" s="84"/>
      <c r="BT910" s="84"/>
      <c r="BY910" s="84"/>
      <c r="CD910" s="84"/>
      <c r="CI910" s="128"/>
      <c r="CJ910" s="129"/>
      <c r="CL910" s="132"/>
      <c r="CM910" s="128"/>
      <c r="CN910" s="129"/>
      <c r="CP910" s="132"/>
      <c r="CQ910" s="128"/>
      <c r="CR910" s="129"/>
      <c r="CT910" s="132"/>
      <c r="CU910" s="128"/>
      <c r="CV910" s="129"/>
      <c r="CX910" s="132"/>
      <c r="CY910" s="128"/>
      <c r="CZ910" s="129"/>
      <c r="DB910" s="132"/>
      <c r="DC910" s="128"/>
      <c r="DD910" s="129"/>
      <c r="DF910" s="132"/>
      <c r="DG910" s="85"/>
      <c r="DH910" s="85"/>
      <c r="DI910" s="84"/>
      <c r="DK910" s="84"/>
      <c r="DP910" s="84"/>
      <c r="DU910" s="84"/>
      <c r="DY910" s="84"/>
      <c r="EC910" s="84"/>
      <c r="EG910" s="84"/>
      <c r="EK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128"/>
      <c r="AA911" s="129"/>
      <c r="AC911" s="130"/>
      <c r="AD911" s="128"/>
      <c r="AE911" s="129"/>
      <c r="AG911" s="130"/>
      <c r="AH911" s="128"/>
      <c r="AI911" s="129"/>
      <c r="AK911" s="130"/>
      <c r="AL911" s="128"/>
      <c r="AM911" s="129"/>
      <c r="AO911" s="130"/>
      <c r="AP911" s="128"/>
      <c r="AQ911" s="129"/>
      <c r="AS911" s="130"/>
      <c r="AT911" s="128"/>
      <c r="AU911" s="129"/>
      <c r="AW911" s="130"/>
      <c r="AX911" s="85"/>
      <c r="AY911" s="84"/>
      <c r="AZ911" s="84"/>
      <c r="BA911" s="131"/>
      <c r="BB911" s="84"/>
      <c r="BE911" s="84"/>
      <c r="BI911" s="86"/>
      <c r="BO911" s="84"/>
      <c r="BT911" s="84"/>
      <c r="BY911" s="84"/>
      <c r="CD911" s="84"/>
      <c r="CI911" s="128"/>
      <c r="CJ911" s="129"/>
      <c r="CL911" s="132"/>
      <c r="CM911" s="128"/>
      <c r="CN911" s="129"/>
      <c r="CP911" s="132"/>
      <c r="CQ911" s="128"/>
      <c r="CR911" s="129"/>
      <c r="CT911" s="132"/>
      <c r="CU911" s="128"/>
      <c r="CV911" s="129"/>
      <c r="CX911" s="132"/>
      <c r="CY911" s="128"/>
      <c r="CZ911" s="129"/>
      <c r="DB911" s="132"/>
      <c r="DC911" s="128"/>
      <c r="DD911" s="129"/>
      <c r="DF911" s="132"/>
      <c r="DG911" s="85"/>
      <c r="DH911" s="85"/>
      <c r="DI911" s="84"/>
      <c r="DK911" s="84"/>
      <c r="DP911" s="84"/>
      <c r="DU911" s="84"/>
      <c r="DY911" s="84"/>
      <c r="EC911" s="84"/>
      <c r="EG911" s="84"/>
      <c r="EK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128"/>
      <c r="AA912" s="129"/>
      <c r="AC912" s="130"/>
      <c r="AD912" s="128"/>
      <c r="AE912" s="129"/>
      <c r="AG912" s="130"/>
      <c r="AH912" s="128"/>
      <c r="AI912" s="129"/>
      <c r="AK912" s="130"/>
      <c r="AL912" s="128"/>
      <c r="AM912" s="129"/>
      <c r="AO912" s="130"/>
      <c r="AP912" s="128"/>
      <c r="AQ912" s="129"/>
      <c r="AS912" s="130"/>
      <c r="AT912" s="128"/>
      <c r="AU912" s="129"/>
      <c r="AW912" s="130"/>
      <c r="AX912" s="85"/>
      <c r="AY912" s="84"/>
      <c r="AZ912" s="84"/>
      <c r="BA912" s="131"/>
      <c r="BB912" s="84"/>
      <c r="BE912" s="84"/>
      <c r="BI912" s="86"/>
      <c r="BO912" s="84"/>
      <c r="BT912" s="84"/>
      <c r="BY912" s="84"/>
      <c r="CD912" s="84"/>
      <c r="CI912" s="128"/>
      <c r="CJ912" s="129"/>
      <c r="CL912" s="132"/>
      <c r="CM912" s="128"/>
      <c r="CN912" s="129"/>
      <c r="CP912" s="132"/>
      <c r="CQ912" s="128"/>
      <c r="CR912" s="129"/>
      <c r="CT912" s="132"/>
      <c r="CU912" s="128"/>
      <c r="CV912" s="129"/>
      <c r="CX912" s="132"/>
      <c r="CY912" s="128"/>
      <c r="CZ912" s="129"/>
      <c r="DB912" s="132"/>
      <c r="DC912" s="128"/>
      <c r="DD912" s="129"/>
      <c r="DF912" s="132"/>
      <c r="DG912" s="85"/>
      <c r="DH912" s="85"/>
      <c r="DI912" s="84"/>
      <c r="DK912" s="84"/>
      <c r="DP912" s="84"/>
      <c r="DU912" s="84"/>
      <c r="DY912" s="84"/>
      <c r="EC912" s="84"/>
      <c r="EG912" s="84"/>
      <c r="EK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128"/>
      <c r="AA913" s="129"/>
      <c r="AC913" s="130"/>
      <c r="AD913" s="128"/>
      <c r="AE913" s="129"/>
      <c r="AG913" s="130"/>
      <c r="AH913" s="128"/>
      <c r="AI913" s="129"/>
      <c r="AK913" s="130"/>
      <c r="AL913" s="128"/>
      <c r="AM913" s="129"/>
      <c r="AO913" s="130"/>
      <c r="AP913" s="128"/>
      <c r="AQ913" s="129"/>
      <c r="AS913" s="130"/>
      <c r="AT913" s="128"/>
      <c r="AU913" s="129"/>
      <c r="AW913" s="130"/>
      <c r="AX913" s="85"/>
      <c r="AY913" s="84"/>
      <c r="AZ913" s="84"/>
      <c r="BA913" s="131"/>
      <c r="BB913" s="84"/>
      <c r="BE913" s="84"/>
      <c r="BI913" s="86"/>
      <c r="BO913" s="84"/>
      <c r="BT913" s="84"/>
      <c r="BY913" s="84"/>
      <c r="CD913" s="84"/>
      <c r="CI913" s="128"/>
      <c r="CJ913" s="129"/>
      <c r="CL913" s="132"/>
      <c r="CM913" s="128"/>
      <c r="CN913" s="129"/>
      <c r="CP913" s="132"/>
      <c r="CQ913" s="128"/>
      <c r="CR913" s="129"/>
      <c r="CT913" s="132"/>
      <c r="CU913" s="128"/>
      <c r="CV913" s="129"/>
      <c r="CX913" s="132"/>
      <c r="CY913" s="128"/>
      <c r="CZ913" s="129"/>
      <c r="DB913" s="132"/>
      <c r="DC913" s="128"/>
      <c r="DD913" s="129"/>
      <c r="DF913" s="132"/>
      <c r="DG913" s="85"/>
      <c r="DH913" s="85"/>
      <c r="DI913" s="84"/>
      <c r="DK913" s="84"/>
      <c r="DP913" s="84"/>
      <c r="DU913" s="84"/>
      <c r="DY913" s="84"/>
      <c r="EC913" s="84"/>
      <c r="EG913" s="84"/>
      <c r="EK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128"/>
      <c r="AA914" s="129"/>
      <c r="AC914" s="130"/>
      <c r="AD914" s="128"/>
      <c r="AE914" s="129"/>
      <c r="AG914" s="130"/>
      <c r="AH914" s="128"/>
      <c r="AI914" s="129"/>
      <c r="AK914" s="130"/>
      <c r="AL914" s="128"/>
      <c r="AM914" s="129"/>
      <c r="AO914" s="130"/>
      <c r="AP914" s="128"/>
      <c r="AQ914" s="129"/>
      <c r="AS914" s="130"/>
      <c r="AT914" s="128"/>
      <c r="AU914" s="129"/>
      <c r="AW914" s="130"/>
      <c r="AX914" s="85"/>
      <c r="AY914" s="84"/>
      <c r="AZ914" s="84"/>
      <c r="BA914" s="131"/>
      <c r="BB914" s="84"/>
      <c r="BE914" s="84"/>
      <c r="BI914" s="86"/>
      <c r="BO914" s="84"/>
      <c r="BT914" s="84"/>
      <c r="BY914" s="84"/>
      <c r="CD914" s="84"/>
      <c r="CI914" s="128"/>
      <c r="CJ914" s="129"/>
      <c r="CL914" s="132"/>
      <c r="CM914" s="128"/>
      <c r="CN914" s="129"/>
      <c r="CP914" s="132"/>
      <c r="CQ914" s="128"/>
      <c r="CR914" s="129"/>
      <c r="CT914" s="132"/>
      <c r="CU914" s="128"/>
      <c r="CV914" s="129"/>
      <c r="CX914" s="132"/>
      <c r="CY914" s="128"/>
      <c r="CZ914" s="129"/>
      <c r="DB914" s="132"/>
      <c r="DC914" s="128"/>
      <c r="DD914" s="129"/>
      <c r="DF914" s="132"/>
      <c r="DG914" s="85"/>
      <c r="DH914" s="85"/>
      <c r="DI914" s="84"/>
      <c r="DK914" s="84"/>
      <c r="DP914" s="84"/>
      <c r="DU914" s="84"/>
      <c r="DY914" s="84"/>
      <c r="EC914" s="84"/>
      <c r="EG914" s="84"/>
      <c r="EK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128"/>
      <c r="AA915" s="129"/>
      <c r="AC915" s="130"/>
      <c r="AD915" s="128"/>
      <c r="AE915" s="129"/>
      <c r="AG915" s="130"/>
      <c r="AH915" s="128"/>
      <c r="AI915" s="129"/>
      <c r="AK915" s="130"/>
      <c r="AL915" s="128"/>
      <c r="AM915" s="129"/>
      <c r="AO915" s="130"/>
      <c r="AP915" s="128"/>
      <c r="AQ915" s="129"/>
      <c r="AS915" s="130"/>
      <c r="AT915" s="128"/>
      <c r="AU915" s="129"/>
      <c r="AW915" s="130"/>
      <c r="AX915" s="85"/>
      <c r="AY915" s="84"/>
      <c r="AZ915" s="84"/>
      <c r="BA915" s="131"/>
      <c r="BB915" s="84"/>
      <c r="BE915" s="84"/>
      <c r="BI915" s="86"/>
      <c r="BO915" s="84"/>
      <c r="BT915" s="84"/>
      <c r="BY915" s="84"/>
      <c r="CD915" s="84"/>
      <c r="CI915" s="128"/>
      <c r="CJ915" s="129"/>
      <c r="CL915" s="132"/>
      <c r="CM915" s="128"/>
      <c r="CN915" s="129"/>
      <c r="CP915" s="132"/>
      <c r="CQ915" s="128"/>
      <c r="CR915" s="129"/>
      <c r="CT915" s="132"/>
      <c r="CU915" s="128"/>
      <c r="CV915" s="129"/>
      <c r="CX915" s="132"/>
      <c r="CY915" s="128"/>
      <c r="CZ915" s="129"/>
      <c r="DB915" s="132"/>
      <c r="DC915" s="128"/>
      <c r="DD915" s="129"/>
      <c r="DF915" s="132"/>
      <c r="DG915" s="85"/>
      <c r="DH915" s="85"/>
      <c r="DI915" s="84"/>
      <c r="DK915" s="84"/>
      <c r="DP915" s="84"/>
      <c r="DU915" s="84"/>
      <c r="DY915" s="84"/>
      <c r="EC915" s="84"/>
      <c r="EG915" s="84"/>
      <c r="EK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128"/>
      <c r="AA916" s="129"/>
      <c r="AC916" s="130"/>
      <c r="AD916" s="128"/>
      <c r="AE916" s="129"/>
      <c r="AG916" s="130"/>
      <c r="AH916" s="128"/>
      <c r="AI916" s="129"/>
      <c r="AK916" s="130"/>
      <c r="AL916" s="128"/>
      <c r="AM916" s="129"/>
      <c r="AO916" s="130"/>
      <c r="AP916" s="128"/>
      <c r="AQ916" s="129"/>
      <c r="AS916" s="130"/>
      <c r="AT916" s="128"/>
      <c r="AU916" s="129"/>
      <c r="AW916" s="130"/>
      <c r="AX916" s="85"/>
      <c r="AY916" s="84"/>
      <c r="AZ916" s="84"/>
      <c r="BA916" s="131"/>
      <c r="BB916" s="84"/>
      <c r="BE916" s="84"/>
      <c r="BI916" s="86"/>
      <c r="BO916" s="84"/>
      <c r="BT916" s="84"/>
      <c r="BY916" s="84"/>
      <c r="CD916" s="84"/>
      <c r="CI916" s="128"/>
      <c r="CJ916" s="129"/>
      <c r="CL916" s="132"/>
      <c r="CM916" s="128"/>
      <c r="CN916" s="129"/>
      <c r="CP916" s="132"/>
      <c r="CQ916" s="128"/>
      <c r="CR916" s="129"/>
      <c r="CT916" s="132"/>
      <c r="CU916" s="128"/>
      <c r="CV916" s="129"/>
      <c r="CX916" s="132"/>
      <c r="CY916" s="128"/>
      <c r="CZ916" s="129"/>
      <c r="DB916" s="132"/>
      <c r="DC916" s="128"/>
      <c r="DD916" s="129"/>
      <c r="DF916" s="132"/>
      <c r="DG916" s="85"/>
      <c r="DH916" s="85"/>
      <c r="DI916" s="84"/>
      <c r="DK916" s="84"/>
      <c r="DP916" s="84"/>
      <c r="DU916" s="84"/>
      <c r="DY916" s="84"/>
      <c r="EC916" s="84"/>
      <c r="EG916" s="84"/>
      <c r="EK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128"/>
      <c r="AA917" s="129"/>
      <c r="AC917" s="130"/>
      <c r="AD917" s="128"/>
      <c r="AE917" s="129"/>
      <c r="AG917" s="130"/>
      <c r="AH917" s="128"/>
      <c r="AI917" s="129"/>
      <c r="AK917" s="130"/>
      <c r="AL917" s="128"/>
      <c r="AM917" s="129"/>
      <c r="AO917" s="130"/>
      <c r="AP917" s="128"/>
      <c r="AQ917" s="129"/>
      <c r="AS917" s="130"/>
      <c r="AT917" s="128"/>
      <c r="AU917" s="129"/>
      <c r="AW917" s="130"/>
      <c r="AX917" s="85"/>
      <c r="AY917" s="84"/>
      <c r="AZ917" s="84"/>
      <c r="BA917" s="131"/>
      <c r="BB917" s="84"/>
      <c r="BE917" s="84"/>
      <c r="BI917" s="86"/>
      <c r="BO917" s="84"/>
      <c r="BT917" s="84"/>
      <c r="BY917" s="84"/>
      <c r="CD917" s="84"/>
      <c r="CI917" s="128"/>
      <c r="CJ917" s="129"/>
      <c r="CL917" s="132"/>
      <c r="CM917" s="128"/>
      <c r="CN917" s="129"/>
      <c r="CP917" s="132"/>
      <c r="CQ917" s="128"/>
      <c r="CR917" s="129"/>
      <c r="CT917" s="132"/>
      <c r="CU917" s="128"/>
      <c r="CV917" s="129"/>
      <c r="CX917" s="132"/>
      <c r="CY917" s="128"/>
      <c r="CZ917" s="129"/>
      <c r="DB917" s="132"/>
      <c r="DC917" s="128"/>
      <c r="DD917" s="129"/>
      <c r="DF917" s="132"/>
      <c r="DG917" s="85"/>
      <c r="DH917" s="85"/>
      <c r="DI917" s="84"/>
      <c r="DK917" s="84"/>
      <c r="DP917" s="84"/>
      <c r="DU917" s="84"/>
      <c r="DY917" s="84"/>
      <c r="EC917" s="84"/>
      <c r="EG917" s="84"/>
      <c r="EK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128"/>
      <c r="AA918" s="129"/>
      <c r="AC918" s="130"/>
      <c r="AD918" s="128"/>
      <c r="AE918" s="129"/>
      <c r="AG918" s="130"/>
      <c r="AH918" s="128"/>
      <c r="AI918" s="129"/>
      <c r="AK918" s="130"/>
      <c r="AL918" s="128"/>
      <c r="AM918" s="129"/>
      <c r="AO918" s="130"/>
      <c r="AP918" s="128"/>
      <c r="AQ918" s="129"/>
      <c r="AS918" s="130"/>
      <c r="AT918" s="128"/>
      <c r="AU918" s="129"/>
      <c r="AW918" s="130"/>
      <c r="AX918" s="85"/>
      <c r="AY918" s="84"/>
      <c r="AZ918" s="84"/>
      <c r="BA918" s="131"/>
      <c r="BB918" s="84"/>
      <c r="BE918" s="84"/>
      <c r="BI918" s="86"/>
      <c r="BO918" s="84"/>
      <c r="BT918" s="84"/>
      <c r="BY918" s="84"/>
      <c r="CD918" s="84"/>
      <c r="CI918" s="128"/>
      <c r="CJ918" s="129"/>
      <c r="CL918" s="132"/>
      <c r="CM918" s="128"/>
      <c r="CN918" s="129"/>
      <c r="CP918" s="132"/>
      <c r="CQ918" s="128"/>
      <c r="CR918" s="129"/>
      <c r="CT918" s="132"/>
      <c r="CU918" s="128"/>
      <c r="CV918" s="129"/>
      <c r="CX918" s="132"/>
      <c r="CY918" s="128"/>
      <c r="CZ918" s="129"/>
      <c r="DB918" s="132"/>
      <c r="DC918" s="128"/>
      <c r="DD918" s="129"/>
      <c r="DF918" s="132"/>
      <c r="DG918" s="85"/>
      <c r="DH918" s="85"/>
      <c r="DI918" s="84"/>
      <c r="DK918" s="84"/>
      <c r="DP918" s="84"/>
      <c r="DU918" s="84"/>
      <c r="DY918" s="84"/>
      <c r="EC918" s="84"/>
      <c r="EG918" s="84"/>
      <c r="EK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128"/>
      <c r="AA919" s="129"/>
      <c r="AC919" s="130"/>
      <c r="AD919" s="128"/>
      <c r="AE919" s="129"/>
      <c r="AG919" s="130"/>
      <c r="AH919" s="128"/>
      <c r="AI919" s="129"/>
      <c r="AK919" s="130"/>
      <c r="AL919" s="128"/>
      <c r="AM919" s="129"/>
      <c r="AO919" s="130"/>
      <c r="AP919" s="128"/>
      <c r="AQ919" s="129"/>
      <c r="AS919" s="130"/>
      <c r="AT919" s="128"/>
      <c r="AU919" s="129"/>
      <c r="AW919" s="130"/>
      <c r="AX919" s="85"/>
      <c r="AY919" s="84"/>
      <c r="AZ919" s="84"/>
      <c r="BA919" s="131"/>
      <c r="BB919" s="84"/>
      <c r="BE919" s="84"/>
      <c r="BI919" s="86"/>
      <c r="BO919" s="84"/>
      <c r="BT919" s="84"/>
      <c r="BY919" s="84"/>
      <c r="CD919" s="84"/>
      <c r="CI919" s="128"/>
      <c r="CJ919" s="129"/>
      <c r="CL919" s="132"/>
      <c r="CM919" s="128"/>
      <c r="CN919" s="129"/>
      <c r="CP919" s="132"/>
      <c r="CQ919" s="128"/>
      <c r="CR919" s="129"/>
      <c r="CT919" s="132"/>
      <c r="CU919" s="128"/>
      <c r="CV919" s="129"/>
      <c r="CX919" s="132"/>
      <c r="CY919" s="128"/>
      <c r="CZ919" s="129"/>
      <c r="DB919" s="132"/>
      <c r="DC919" s="128"/>
      <c r="DD919" s="129"/>
      <c r="DF919" s="132"/>
      <c r="DG919" s="85"/>
      <c r="DH919" s="85"/>
      <c r="DI919" s="84"/>
      <c r="DK919" s="84"/>
      <c r="DP919" s="84"/>
      <c r="DU919" s="84"/>
      <c r="DY919" s="84"/>
      <c r="EC919" s="84"/>
      <c r="EG919" s="84"/>
      <c r="EK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128"/>
      <c r="AA920" s="129"/>
      <c r="AC920" s="130"/>
      <c r="AD920" s="128"/>
      <c r="AE920" s="129"/>
      <c r="AG920" s="130"/>
      <c r="AH920" s="128"/>
      <c r="AI920" s="129"/>
      <c r="AK920" s="130"/>
      <c r="AL920" s="128"/>
      <c r="AM920" s="129"/>
      <c r="AO920" s="130"/>
      <c r="AP920" s="128"/>
      <c r="AQ920" s="129"/>
      <c r="AS920" s="130"/>
      <c r="AT920" s="128"/>
      <c r="AU920" s="129"/>
      <c r="AW920" s="130"/>
      <c r="AX920" s="85"/>
      <c r="AY920" s="84"/>
      <c r="AZ920" s="84"/>
      <c r="BA920" s="131"/>
      <c r="BB920" s="84"/>
      <c r="BE920" s="84"/>
      <c r="BI920" s="86"/>
      <c r="BO920" s="84"/>
      <c r="BT920" s="84"/>
      <c r="BY920" s="84"/>
      <c r="CD920" s="84"/>
      <c r="CI920" s="128"/>
      <c r="CJ920" s="129"/>
      <c r="CL920" s="132"/>
      <c r="CM920" s="128"/>
      <c r="CN920" s="129"/>
      <c r="CP920" s="132"/>
      <c r="CQ920" s="128"/>
      <c r="CR920" s="129"/>
      <c r="CT920" s="132"/>
      <c r="CU920" s="128"/>
      <c r="CV920" s="129"/>
      <c r="CX920" s="132"/>
      <c r="CY920" s="128"/>
      <c r="CZ920" s="129"/>
      <c r="DB920" s="132"/>
      <c r="DC920" s="128"/>
      <c r="DD920" s="129"/>
      <c r="DF920" s="132"/>
      <c r="DG920" s="85"/>
      <c r="DH920" s="85"/>
      <c r="DI920" s="84"/>
      <c r="DK920" s="84"/>
      <c r="DP920" s="84"/>
      <c r="DU920" s="84"/>
      <c r="DY920" s="84"/>
      <c r="EC920" s="84"/>
      <c r="EG920" s="84"/>
      <c r="EK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128"/>
      <c r="AA921" s="129"/>
      <c r="AC921" s="130"/>
      <c r="AD921" s="128"/>
      <c r="AE921" s="129"/>
      <c r="AG921" s="130"/>
      <c r="AH921" s="128"/>
      <c r="AI921" s="129"/>
      <c r="AK921" s="130"/>
      <c r="AL921" s="128"/>
      <c r="AM921" s="129"/>
      <c r="AO921" s="130"/>
      <c r="AP921" s="128"/>
      <c r="AQ921" s="129"/>
      <c r="AS921" s="130"/>
      <c r="AT921" s="128"/>
      <c r="AU921" s="129"/>
      <c r="AW921" s="130"/>
      <c r="AX921" s="85"/>
      <c r="AY921" s="84"/>
      <c r="AZ921" s="84"/>
      <c r="BA921" s="131"/>
      <c r="BB921" s="84"/>
      <c r="BE921" s="84"/>
      <c r="BI921" s="86"/>
      <c r="BO921" s="84"/>
      <c r="BT921" s="84"/>
      <c r="BY921" s="84"/>
      <c r="CD921" s="84"/>
      <c r="CI921" s="128"/>
      <c r="CJ921" s="129"/>
      <c r="CL921" s="132"/>
      <c r="CM921" s="128"/>
      <c r="CN921" s="129"/>
      <c r="CP921" s="132"/>
      <c r="CQ921" s="128"/>
      <c r="CR921" s="129"/>
      <c r="CT921" s="132"/>
      <c r="CU921" s="128"/>
      <c r="CV921" s="129"/>
      <c r="CX921" s="132"/>
      <c r="CY921" s="128"/>
      <c r="CZ921" s="129"/>
      <c r="DB921" s="132"/>
      <c r="DC921" s="128"/>
      <c r="DD921" s="129"/>
      <c r="DF921" s="132"/>
      <c r="DG921" s="85"/>
      <c r="DH921" s="85"/>
      <c r="DI921" s="84"/>
      <c r="DK921" s="84"/>
      <c r="DP921" s="84"/>
      <c r="DU921" s="84"/>
      <c r="DY921" s="84"/>
      <c r="EC921" s="84"/>
      <c r="EG921" s="84"/>
      <c r="EK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128"/>
      <c r="AA922" s="129"/>
      <c r="AC922" s="130"/>
      <c r="AD922" s="128"/>
      <c r="AE922" s="129"/>
      <c r="AG922" s="130"/>
      <c r="AH922" s="128"/>
      <c r="AI922" s="129"/>
      <c r="AK922" s="130"/>
      <c r="AL922" s="128"/>
      <c r="AM922" s="129"/>
      <c r="AO922" s="130"/>
      <c r="AP922" s="128"/>
      <c r="AQ922" s="129"/>
      <c r="AS922" s="130"/>
      <c r="AT922" s="128"/>
      <c r="AU922" s="129"/>
      <c r="AW922" s="130"/>
      <c r="AX922" s="85"/>
      <c r="AY922" s="84"/>
      <c r="AZ922" s="84"/>
      <c r="BA922" s="131"/>
      <c r="BB922" s="84"/>
      <c r="BE922" s="84"/>
      <c r="BI922" s="86"/>
      <c r="BO922" s="84"/>
      <c r="BT922" s="84"/>
      <c r="BY922" s="84"/>
      <c r="CD922" s="84"/>
      <c r="CI922" s="128"/>
      <c r="CJ922" s="129"/>
      <c r="CL922" s="132"/>
      <c r="CM922" s="128"/>
      <c r="CN922" s="129"/>
      <c r="CP922" s="132"/>
      <c r="CQ922" s="128"/>
      <c r="CR922" s="129"/>
      <c r="CT922" s="132"/>
      <c r="CU922" s="128"/>
      <c r="CV922" s="129"/>
      <c r="CX922" s="132"/>
      <c r="CY922" s="128"/>
      <c r="CZ922" s="129"/>
      <c r="DB922" s="132"/>
      <c r="DC922" s="128"/>
      <c r="DD922" s="129"/>
      <c r="DF922" s="132"/>
      <c r="DG922" s="85"/>
      <c r="DH922" s="85"/>
      <c r="DI922" s="84"/>
      <c r="DK922" s="84"/>
      <c r="DP922" s="84"/>
      <c r="DU922" s="84"/>
      <c r="DY922" s="84"/>
      <c r="EC922" s="84"/>
      <c r="EG922" s="84"/>
      <c r="EK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128"/>
      <c r="AA923" s="129"/>
      <c r="AC923" s="130"/>
      <c r="AD923" s="128"/>
      <c r="AE923" s="129"/>
      <c r="AG923" s="130"/>
      <c r="AH923" s="128"/>
      <c r="AI923" s="129"/>
      <c r="AK923" s="130"/>
      <c r="AL923" s="128"/>
      <c r="AM923" s="129"/>
      <c r="AO923" s="130"/>
      <c r="AP923" s="128"/>
      <c r="AQ923" s="129"/>
      <c r="AS923" s="130"/>
      <c r="AT923" s="128"/>
      <c r="AU923" s="129"/>
      <c r="AW923" s="130"/>
      <c r="AX923" s="85"/>
      <c r="AY923" s="84"/>
      <c r="AZ923" s="84"/>
      <c r="BA923" s="131"/>
      <c r="BB923" s="84"/>
      <c r="BE923" s="84"/>
      <c r="BI923" s="86"/>
      <c r="BO923" s="84"/>
      <c r="BT923" s="84"/>
      <c r="BY923" s="84"/>
      <c r="CD923" s="84"/>
      <c r="CI923" s="128"/>
      <c r="CJ923" s="129"/>
      <c r="CL923" s="132"/>
      <c r="CM923" s="128"/>
      <c r="CN923" s="129"/>
      <c r="CP923" s="132"/>
      <c r="CQ923" s="128"/>
      <c r="CR923" s="129"/>
      <c r="CT923" s="132"/>
      <c r="CU923" s="128"/>
      <c r="CV923" s="129"/>
      <c r="CX923" s="132"/>
      <c r="CY923" s="128"/>
      <c r="CZ923" s="129"/>
      <c r="DB923" s="132"/>
      <c r="DC923" s="128"/>
      <c r="DD923" s="129"/>
      <c r="DF923" s="132"/>
      <c r="DG923" s="85"/>
      <c r="DH923" s="85"/>
      <c r="DI923" s="84"/>
      <c r="DK923" s="84"/>
      <c r="DP923" s="84"/>
      <c r="DU923" s="84"/>
      <c r="DY923" s="84"/>
      <c r="EC923" s="84"/>
      <c r="EG923" s="84"/>
      <c r="EK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128"/>
      <c r="AA924" s="129"/>
      <c r="AC924" s="130"/>
      <c r="AD924" s="128"/>
      <c r="AE924" s="129"/>
      <c r="AG924" s="130"/>
      <c r="AH924" s="128"/>
      <c r="AI924" s="129"/>
      <c r="AK924" s="130"/>
      <c r="AL924" s="128"/>
      <c r="AM924" s="129"/>
      <c r="AO924" s="130"/>
      <c r="AP924" s="128"/>
      <c r="AQ924" s="129"/>
      <c r="AS924" s="130"/>
      <c r="AT924" s="128"/>
      <c r="AU924" s="129"/>
      <c r="AW924" s="130"/>
      <c r="AX924" s="85"/>
      <c r="AY924" s="84"/>
      <c r="AZ924" s="84"/>
      <c r="BA924" s="131"/>
      <c r="BB924" s="84"/>
      <c r="BE924" s="84"/>
      <c r="BI924" s="86"/>
      <c r="BO924" s="84"/>
      <c r="BT924" s="84"/>
      <c r="BY924" s="84"/>
      <c r="CD924" s="84"/>
      <c r="CI924" s="128"/>
      <c r="CJ924" s="129"/>
      <c r="CL924" s="132"/>
      <c r="CM924" s="128"/>
      <c r="CN924" s="129"/>
      <c r="CP924" s="132"/>
      <c r="CQ924" s="128"/>
      <c r="CR924" s="129"/>
      <c r="CT924" s="132"/>
      <c r="CU924" s="128"/>
      <c r="CV924" s="129"/>
      <c r="CX924" s="132"/>
      <c r="CY924" s="128"/>
      <c r="CZ924" s="129"/>
      <c r="DB924" s="132"/>
      <c r="DC924" s="128"/>
      <c r="DD924" s="129"/>
      <c r="DF924" s="132"/>
      <c r="DG924" s="85"/>
      <c r="DH924" s="85"/>
      <c r="DI924" s="84"/>
      <c r="DK924" s="84"/>
      <c r="DP924" s="84"/>
      <c r="DU924" s="84"/>
      <c r="DY924" s="84"/>
      <c r="EC924" s="84"/>
      <c r="EG924" s="84"/>
      <c r="EK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128"/>
      <c r="AA925" s="129"/>
      <c r="AC925" s="130"/>
      <c r="AD925" s="128"/>
      <c r="AE925" s="129"/>
      <c r="AG925" s="130"/>
      <c r="AH925" s="128"/>
      <c r="AI925" s="129"/>
      <c r="AK925" s="130"/>
      <c r="AL925" s="128"/>
      <c r="AM925" s="129"/>
      <c r="AO925" s="130"/>
      <c r="AP925" s="128"/>
      <c r="AQ925" s="129"/>
      <c r="AS925" s="130"/>
      <c r="AT925" s="128"/>
      <c r="AU925" s="129"/>
      <c r="AW925" s="130"/>
      <c r="AX925" s="85"/>
      <c r="AY925" s="84"/>
      <c r="AZ925" s="84"/>
      <c r="BA925" s="131"/>
      <c r="BB925" s="84"/>
      <c r="BE925" s="84"/>
      <c r="BI925" s="86"/>
      <c r="BO925" s="84"/>
      <c r="BT925" s="84"/>
      <c r="BY925" s="84"/>
      <c r="CD925" s="84"/>
      <c r="CI925" s="128"/>
      <c r="CJ925" s="129"/>
      <c r="CL925" s="132"/>
      <c r="CM925" s="128"/>
      <c r="CN925" s="129"/>
      <c r="CP925" s="132"/>
      <c r="CQ925" s="128"/>
      <c r="CR925" s="129"/>
      <c r="CT925" s="132"/>
      <c r="CU925" s="128"/>
      <c r="CV925" s="129"/>
      <c r="CX925" s="132"/>
      <c r="CY925" s="128"/>
      <c r="CZ925" s="129"/>
      <c r="DB925" s="132"/>
      <c r="DC925" s="128"/>
      <c r="DD925" s="129"/>
      <c r="DF925" s="132"/>
      <c r="DG925" s="85"/>
      <c r="DH925" s="85"/>
      <c r="DI925" s="84"/>
      <c r="DK925" s="84"/>
      <c r="DP925" s="84"/>
      <c r="DU925" s="84"/>
      <c r="DY925" s="84"/>
      <c r="EC925" s="84"/>
      <c r="EG925" s="84"/>
      <c r="EK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128"/>
      <c r="AA926" s="129"/>
      <c r="AC926" s="130"/>
      <c r="AD926" s="128"/>
      <c r="AE926" s="129"/>
      <c r="AG926" s="130"/>
      <c r="AH926" s="128"/>
      <c r="AI926" s="129"/>
      <c r="AK926" s="130"/>
      <c r="AL926" s="128"/>
      <c r="AM926" s="129"/>
      <c r="AO926" s="130"/>
      <c r="AP926" s="128"/>
      <c r="AQ926" s="129"/>
      <c r="AS926" s="130"/>
      <c r="AT926" s="128"/>
      <c r="AU926" s="129"/>
      <c r="AW926" s="130"/>
      <c r="AX926" s="85"/>
      <c r="AY926" s="84"/>
      <c r="AZ926" s="84"/>
      <c r="BA926" s="131"/>
      <c r="BB926" s="84"/>
      <c r="BE926" s="84"/>
      <c r="BI926" s="86"/>
      <c r="BO926" s="84"/>
      <c r="BT926" s="84"/>
      <c r="BY926" s="84"/>
      <c r="CD926" s="84"/>
      <c r="CI926" s="128"/>
      <c r="CJ926" s="129"/>
      <c r="CL926" s="132"/>
      <c r="CM926" s="128"/>
      <c r="CN926" s="129"/>
      <c r="CP926" s="132"/>
      <c r="CQ926" s="128"/>
      <c r="CR926" s="129"/>
      <c r="CT926" s="132"/>
      <c r="CU926" s="128"/>
      <c r="CV926" s="129"/>
      <c r="CX926" s="132"/>
      <c r="CY926" s="128"/>
      <c r="CZ926" s="129"/>
      <c r="DB926" s="132"/>
      <c r="DC926" s="128"/>
      <c r="DD926" s="129"/>
      <c r="DF926" s="132"/>
      <c r="DG926" s="85"/>
      <c r="DH926" s="85"/>
      <c r="DI926" s="84"/>
      <c r="DK926" s="84"/>
      <c r="DP926" s="84"/>
      <c r="DU926" s="84"/>
      <c r="DY926" s="84"/>
      <c r="EC926" s="84"/>
      <c r="EG926" s="84"/>
      <c r="EK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128"/>
      <c r="AA927" s="129"/>
      <c r="AC927" s="130"/>
      <c r="AD927" s="128"/>
      <c r="AE927" s="129"/>
      <c r="AG927" s="130"/>
      <c r="AH927" s="128"/>
      <c r="AI927" s="129"/>
      <c r="AK927" s="130"/>
      <c r="AL927" s="128"/>
      <c r="AM927" s="129"/>
      <c r="AO927" s="130"/>
      <c r="AP927" s="128"/>
      <c r="AQ927" s="129"/>
      <c r="AS927" s="130"/>
      <c r="AT927" s="128"/>
      <c r="AU927" s="129"/>
      <c r="AW927" s="130"/>
      <c r="AX927" s="85"/>
      <c r="AY927" s="84"/>
      <c r="AZ927" s="84"/>
      <c r="BA927" s="131"/>
      <c r="BB927" s="84"/>
      <c r="BE927" s="84"/>
      <c r="BI927" s="86"/>
      <c r="BO927" s="84"/>
      <c r="BT927" s="84"/>
      <c r="BY927" s="84"/>
      <c r="CD927" s="84"/>
      <c r="CI927" s="128"/>
      <c r="CJ927" s="129"/>
      <c r="CL927" s="132"/>
      <c r="CM927" s="128"/>
      <c r="CN927" s="129"/>
      <c r="CP927" s="132"/>
      <c r="CQ927" s="128"/>
      <c r="CR927" s="129"/>
      <c r="CT927" s="132"/>
      <c r="CU927" s="128"/>
      <c r="CV927" s="129"/>
      <c r="CX927" s="132"/>
      <c r="CY927" s="128"/>
      <c r="CZ927" s="129"/>
      <c r="DB927" s="132"/>
      <c r="DC927" s="128"/>
      <c r="DD927" s="129"/>
      <c r="DF927" s="132"/>
      <c r="DG927" s="85"/>
      <c r="DH927" s="85"/>
      <c r="DI927" s="84"/>
      <c r="DK927" s="84"/>
      <c r="DP927" s="84"/>
      <c r="DU927" s="84"/>
      <c r="DY927" s="84"/>
      <c r="EC927" s="84"/>
      <c r="EG927" s="84"/>
      <c r="EK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128"/>
      <c r="AA928" s="129"/>
      <c r="AC928" s="130"/>
      <c r="AD928" s="128"/>
      <c r="AE928" s="129"/>
      <c r="AG928" s="130"/>
      <c r="AH928" s="128"/>
      <c r="AI928" s="129"/>
      <c r="AK928" s="130"/>
      <c r="AL928" s="128"/>
      <c r="AM928" s="129"/>
      <c r="AO928" s="130"/>
      <c r="AP928" s="128"/>
      <c r="AQ928" s="129"/>
      <c r="AS928" s="130"/>
      <c r="AT928" s="128"/>
      <c r="AU928" s="129"/>
      <c r="AW928" s="130"/>
      <c r="AX928" s="85"/>
      <c r="AY928" s="84"/>
      <c r="AZ928" s="84"/>
      <c r="BA928" s="131"/>
      <c r="BB928" s="84"/>
      <c r="BE928" s="84"/>
      <c r="BI928" s="86"/>
      <c r="BO928" s="84"/>
      <c r="BT928" s="84"/>
      <c r="BY928" s="84"/>
      <c r="CD928" s="84"/>
      <c r="CI928" s="128"/>
      <c r="CJ928" s="129"/>
      <c r="CL928" s="132"/>
      <c r="CM928" s="128"/>
      <c r="CN928" s="129"/>
      <c r="CP928" s="132"/>
      <c r="CQ928" s="128"/>
      <c r="CR928" s="129"/>
      <c r="CT928" s="132"/>
      <c r="CU928" s="128"/>
      <c r="CV928" s="129"/>
      <c r="CX928" s="132"/>
      <c r="CY928" s="128"/>
      <c r="CZ928" s="129"/>
      <c r="DB928" s="132"/>
      <c r="DC928" s="128"/>
      <c r="DD928" s="129"/>
      <c r="DF928" s="132"/>
      <c r="DG928" s="85"/>
      <c r="DH928" s="85"/>
      <c r="DI928" s="84"/>
      <c r="DK928" s="84"/>
      <c r="DP928" s="84"/>
      <c r="DU928" s="84"/>
      <c r="DY928" s="84"/>
      <c r="EC928" s="84"/>
      <c r="EG928" s="84"/>
      <c r="EK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128"/>
      <c r="AA929" s="129"/>
      <c r="AC929" s="130"/>
      <c r="AD929" s="128"/>
      <c r="AE929" s="129"/>
      <c r="AG929" s="130"/>
      <c r="AH929" s="128"/>
      <c r="AI929" s="129"/>
      <c r="AK929" s="130"/>
      <c r="AL929" s="128"/>
      <c r="AM929" s="129"/>
      <c r="AO929" s="130"/>
      <c r="AP929" s="128"/>
      <c r="AQ929" s="129"/>
      <c r="AS929" s="130"/>
      <c r="AT929" s="128"/>
      <c r="AU929" s="129"/>
      <c r="AW929" s="130"/>
      <c r="AX929" s="85"/>
      <c r="AY929" s="84"/>
      <c r="AZ929" s="84"/>
      <c r="BA929" s="131"/>
      <c r="BB929" s="84"/>
      <c r="BE929" s="84"/>
      <c r="BI929" s="86"/>
      <c r="BO929" s="84"/>
      <c r="BT929" s="84"/>
      <c r="BY929" s="84"/>
      <c r="CD929" s="84"/>
      <c r="CI929" s="128"/>
      <c r="CJ929" s="129"/>
      <c r="CL929" s="132"/>
      <c r="CM929" s="128"/>
      <c r="CN929" s="129"/>
      <c r="CP929" s="132"/>
      <c r="CQ929" s="128"/>
      <c r="CR929" s="129"/>
      <c r="CT929" s="132"/>
      <c r="CU929" s="128"/>
      <c r="CV929" s="129"/>
      <c r="CX929" s="132"/>
      <c r="CY929" s="128"/>
      <c r="CZ929" s="129"/>
      <c r="DB929" s="132"/>
      <c r="DC929" s="128"/>
      <c r="DD929" s="129"/>
      <c r="DF929" s="132"/>
      <c r="DG929" s="85"/>
      <c r="DH929" s="85"/>
      <c r="DI929" s="84"/>
      <c r="DK929" s="84"/>
      <c r="DP929" s="84"/>
      <c r="DU929" s="84"/>
      <c r="DY929" s="84"/>
      <c r="EC929" s="84"/>
      <c r="EG929" s="84"/>
      <c r="EK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128"/>
      <c r="AA930" s="129"/>
      <c r="AC930" s="130"/>
      <c r="AD930" s="128"/>
      <c r="AE930" s="129"/>
      <c r="AG930" s="130"/>
      <c r="AH930" s="128"/>
      <c r="AI930" s="129"/>
      <c r="AK930" s="130"/>
      <c r="AL930" s="128"/>
      <c r="AM930" s="129"/>
      <c r="AO930" s="130"/>
      <c r="AP930" s="128"/>
      <c r="AQ930" s="129"/>
      <c r="AS930" s="130"/>
      <c r="AT930" s="128"/>
      <c r="AU930" s="129"/>
      <c r="AW930" s="130"/>
      <c r="AX930" s="85"/>
      <c r="AY930" s="84"/>
      <c r="AZ930" s="84"/>
      <c r="BA930" s="131"/>
      <c r="BB930" s="84"/>
      <c r="BE930" s="84"/>
      <c r="BI930" s="86"/>
      <c r="BO930" s="84"/>
      <c r="BT930" s="84"/>
      <c r="BY930" s="84"/>
      <c r="CD930" s="84"/>
      <c r="CI930" s="128"/>
      <c r="CJ930" s="129"/>
      <c r="CL930" s="132"/>
      <c r="CM930" s="128"/>
      <c r="CN930" s="129"/>
      <c r="CP930" s="132"/>
      <c r="CQ930" s="128"/>
      <c r="CR930" s="129"/>
      <c r="CT930" s="132"/>
      <c r="CU930" s="128"/>
      <c r="CV930" s="129"/>
      <c r="CX930" s="132"/>
      <c r="CY930" s="128"/>
      <c r="CZ930" s="129"/>
      <c r="DB930" s="132"/>
      <c r="DC930" s="128"/>
      <c r="DD930" s="129"/>
      <c r="DF930" s="132"/>
      <c r="DG930" s="85"/>
      <c r="DH930" s="85"/>
      <c r="DI930" s="84"/>
      <c r="DK930" s="84"/>
      <c r="DP930" s="84"/>
      <c r="DU930" s="84"/>
      <c r="DY930" s="84"/>
      <c r="EC930" s="84"/>
      <c r="EG930" s="84"/>
      <c r="EK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128"/>
      <c r="AA931" s="129"/>
      <c r="AC931" s="130"/>
      <c r="AD931" s="128"/>
      <c r="AE931" s="129"/>
      <c r="AG931" s="130"/>
      <c r="AH931" s="128"/>
      <c r="AI931" s="129"/>
      <c r="AK931" s="130"/>
      <c r="AL931" s="128"/>
      <c r="AM931" s="129"/>
      <c r="AO931" s="130"/>
      <c r="AP931" s="128"/>
      <c r="AQ931" s="129"/>
      <c r="AS931" s="130"/>
      <c r="AT931" s="128"/>
      <c r="AU931" s="129"/>
      <c r="AW931" s="130"/>
      <c r="AX931" s="85"/>
      <c r="AY931" s="84"/>
      <c r="AZ931" s="84"/>
      <c r="BA931" s="131"/>
      <c r="BB931" s="84"/>
      <c r="BE931" s="84"/>
      <c r="BI931" s="86"/>
      <c r="BO931" s="84"/>
      <c r="BT931" s="84"/>
      <c r="BY931" s="84"/>
      <c r="CD931" s="84"/>
      <c r="CI931" s="128"/>
      <c r="CJ931" s="129"/>
      <c r="CL931" s="132"/>
      <c r="CM931" s="128"/>
      <c r="CN931" s="129"/>
      <c r="CP931" s="132"/>
      <c r="CQ931" s="128"/>
      <c r="CR931" s="129"/>
      <c r="CT931" s="132"/>
      <c r="CU931" s="128"/>
      <c r="CV931" s="129"/>
      <c r="CX931" s="132"/>
      <c r="CY931" s="128"/>
      <c r="CZ931" s="129"/>
      <c r="DB931" s="132"/>
      <c r="DC931" s="128"/>
      <c r="DD931" s="129"/>
      <c r="DF931" s="132"/>
      <c r="DG931" s="85"/>
      <c r="DH931" s="85"/>
      <c r="DI931" s="84"/>
      <c r="DK931" s="84"/>
      <c r="DP931" s="84"/>
      <c r="DU931" s="84"/>
      <c r="DY931" s="84"/>
      <c r="EC931" s="84"/>
      <c r="EG931" s="84"/>
      <c r="EK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128"/>
      <c r="AA932" s="129"/>
      <c r="AC932" s="130"/>
      <c r="AD932" s="128"/>
      <c r="AE932" s="129"/>
      <c r="AG932" s="130"/>
      <c r="AH932" s="128"/>
      <c r="AI932" s="129"/>
      <c r="AK932" s="130"/>
      <c r="AL932" s="128"/>
      <c r="AM932" s="129"/>
      <c r="AO932" s="130"/>
      <c r="AP932" s="128"/>
      <c r="AQ932" s="129"/>
      <c r="AS932" s="130"/>
      <c r="AT932" s="128"/>
      <c r="AU932" s="129"/>
      <c r="AW932" s="130"/>
      <c r="AX932" s="85"/>
      <c r="AY932" s="84"/>
      <c r="AZ932" s="84"/>
      <c r="BA932" s="131"/>
      <c r="BB932" s="84"/>
      <c r="BE932" s="84"/>
      <c r="BI932" s="86"/>
      <c r="BO932" s="84"/>
      <c r="BT932" s="84"/>
      <c r="BY932" s="84"/>
      <c r="CD932" s="84"/>
      <c r="CI932" s="128"/>
      <c r="CJ932" s="129"/>
      <c r="CL932" s="132"/>
      <c r="CM932" s="128"/>
      <c r="CN932" s="129"/>
      <c r="CP932" s="132"/>
      <c r="CQ932" s="128"/>
      <c r="CR932" s="129"/>
      <c r="CT932" s="132"/>
      <c r="CU932" s="128"/>
      <c r="CV932" s="129"/>
      <c r="CX932" s="132"/>
      <c r="CY932" s="128"/>
      <c r="CZ932" s="129"/>
      <c r="DB932" s="132"/>
      <c r="DC932" s="128"/>
      <c r="DD932" s="129"/>
      <c r="DF932" s="132"/>
      <c r="DG932" s="85"/>
      <c r="DH932" s="85"/>
      <c r="DI932" s="84"/>
      <c r="DK932" s="84"/>
      <c r="DP932" s="84"/>
      <c r="DU932" s="84"/>
      <c r="DY932" s="84"/>
      <c r="EC932" s="84"/>
      <c r="EG932" s="84"/>
      <c r="EK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128"/>
      <c r="AA933" s="129"/>
      <c r="AC933" s="130"/>
      <c r="AD933" s="128"/>
      <c r="AE933" s="129"/>
      <c r="AG933" s="130"/>
      <c r="AH933" s="128"/>
      <c r="AI933" s="129"/>
      <c r="AK933" s="130"/>
      <c r="AL933" s="128"/>
      <c r="AM933" s="129"/>
      <c r="AO933" s="130"/>
      <c r="AP933" s="128"/>
      <c r="AQ933" s="129"/>
      <c r="AS933" s="130"/>
      <c r="AT933" s="128"/>
      <c r="AU933" s="129"/>
      <c r="AW933" s="130"/>
      <c r="AX933" s="85"/>
      <c r="AY933" s="84"/>
      <c r="AZ933" s="84"/>
      <c r="BA933" s="131"/>
      <c r="BB933" s="84"/>
      <c r="BE933" s="84"/>
      <c r="BI933" s="86"/>
      <c r="BO933" s="84"/>
      <c r="BT933" s="84"/>
      <c r="BY933" s="84"/>
      <c r="CD933" s="84"/>
      <c r="CI933" s="128"/>
      <c r="CJ933" s="129"/>
      <c r="CL933" s="132"/>
      <c r="CM933" s="128"/>
      <c r="CN933" s="129"/>
      <c r="CP933" s="132"/>
      <c r="CQ933" s="128"/>
      <c r="CR933" s="129"/>
      <c r="CT933" s="132"/>
      <c r="CU933" s="128"/>
      <c r="CV933" s="129"/>
      <c r="CX933" s="132"/>
      <c r="CY933" s="128"/>
      <c r="CZ933" s="129"/>
      <c r="DB933" s="132"/>
      <c r="DC933" s="128"/>
      <c r="DD933" s="129"/>
      <c r="DF933" s="132"/>
      <c r="DG933" s="85"/>
      <c r="DH933" s="85"/>
      <c r="DI933" s="84"/>
      <c r="DK933" s="84"/>
      <c r="DP933" s="84"/>
      <c r="DU933" s="84"/>
      <c r="DY933" s="84"/>
      <c r="EC933" s="84"/>
      <c r="EG933" s="84"/>
      <c r="EK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128"/>
      <c r="AA934" s="129"/>
      <c r="AC934" s="130"/>
      <c r="AD934" s="128"/>
      <c r="AE934" s="129"/>
      <c r="AG934" s="130"/>
      <c r="AH934" s="128"/>
      <c r="AI934" s="129"/>
      <c r="AK934" s="130"/>
      <c r="AL934" s="128"/>
      <c r="AM934" s="129"/>
      <c r="AO934" s="130"/>
      <c r="AP934" s="128"/>
      <c r="AQ934" s="129"/>
      <c r="AS934" s="130"/>
      <c r="AT934" s="128"/>
      <c r="AU934" s="129"/>
      <c r="AW934" s="130"/>
      <c r="AX934" s="85"/>
      <c r="AY934" s="84"/>
      <c r="AZ934" s="84"/>
      <c r="BA934" s="131"/>
      <c r="BB934" s="84"/>
      <c r="BE934" s="84"/>
      <c r="BI934" s="86"/>
      <c r="BO934" s="84"/>
      <c r="BT934" s="84"/>
      <c r="BY934" s="84"/>
      <c r="CD934" s="84"/>
      <c r="CI934" s="128"/>
      <c r="CJ934" s="129"/>
      <c r="CL934" s="132"/>
      <c r="CM934" s="128"/>
      <c r="CN934" s="129"/>
      <c r="CP934" s="132"/>
      <c r="CQ934" s="128"/>
      <c r="CR934" s="129"/>
      <c r="CT934" s="132"/>
      <c r="CU934" s="128"/>
      <c r="CV934" s="129"/>
      <c r="CX934" s="132"/>
      <c r="CY934" s="128"/>
      <c r="CZ934" s="129"/>
      <c r="DB934" s="132"/>
      <c r="DC934" s="128"/>
      <c r="DD934" s="129"/>
      <c r="DF934" s="132"/>
      <c r="DG934" s="85"/>
      <c r="DH934" s="85"/>
      <c r="DI934" s="84"/>
      <c r="DK934" s="84"/>
      <c r="DP934" s="84"/>
      <c r="DU934" s="84"/>
      <c r="DY934" s="84"/>
      <c r="EC934" s="84"/>
      <c r="EG934" s="84"/>
      <c r="EK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128"/>
      <c r="AA935" s="129"/>
      <c r="AC935" s="130"/>
      <c r="AD935" s="128"/>
      <c r="AE935" s="129"/>
      <c r="AG935" s="130"/>
      <c r="AH935" s="128"/>
      <c r="AI935" s="129"/>
      <c r="AK935" s="130"/>
      <c r="AL935" s="128"/>
      <c r="AM935" s="129"/>
      <c r="AO935" s="130"/>
      <c r="AP935" s="128"/>
      <c r="AQ935" s="129"/>
      <c r="AS935" s="130"/>
      <c r="AT935" s="128"/>
      <c r="AU935" s="129"/>
      <c r="AW935" s="130"/>
      <c r="AX935" s="85"/>
      <c r="AY935" s="84"/>
      <c r="AZ935" s="84"/>
      <c r="BA935" s="131"/>
      <c r="BB935" s="84"/>
      <c r="BE935" s="84"/>
      <c r="BI935" s="86"/>
      <c r="BO935" s="84"/>
      <c r="BT935" s="84"/>
      <c r="BY935" s="84"/>
      <c r="CD935" s="84"/>
      <c r="CI935" s="128"/>
      <c r="CJ935" s="129"/>
      <c r="CL935" s="132"/>
      <c r="CM935" s="128"/>
      <c r="CN935" s="129"/>
      <c r="CP935" s="132"/>
      <c r="CQ935" s="128"/>
      <c r="CR935" s="129"/>
      <c r="CT935" s="132"/>
      <c r="CU935" s="128"/>
      <c r="CV935" s="129"/>
      <c r="CX935" s="132"/>
      <c r="CY935" s="128"/>
      <c r="CZ935" s="129"/>
      <c r="DB935" s="132"/>
      <c r="DC935" s="128"/>
      <c r="DD935" s="129"/>
      <c r="DF935" s="132"/>
      <c r="DG935" s="85"/>
      <c r="DH935" s="85"/>
      <c r="DI935" s="84"/>
      <c r="DK935" s="84"/>
      <c r="DP935" s="84"/>
      <c r="DU935" s="84"/>
      <c r="DY935" s="84"/>
      <c r="EC935" s="84"/>
      <c r="EG935" s="84"/>
      <c r="EK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128"/>
      <c r="AA936" s="129"/>
      <c r="AC936" s="130"/>
      <c r="AD936" s="128"/>
      <c r="AE936" s="129"/>
      <c r="AG936" s="130"/>
      <c r="AH936" s="128"/>
      <c r="AI936" s="129"/>
      <c r="AK936" s="130"/>
      <c r="AL936" s="128"/>
      <c r="AM936" s="129"/>
      <c r="AO936" s="130"/>
      <c r="AP936" s="128"/>
      <c r="AQ936" s="129"/>
      <c r="AS936" s="130"/>
      <c r="AT936" s="128"/>
      <c r="AU936" s="129"/>
      <c r="AW936" s="130"/>
      <c r="AX936" s="85"/>
      <c r="AY936" s="84"/>
      <c r="AZ936" s="84"/>
      <c r="BA936" s="131"/>
      <c r="BB936" s="84"/>
      <c r="BE936" s="84"/>
      <c r="BI936" s="86"/>
      <c r="BO936" s="84"/>
      <c r="BT936" s="84"/>
      <c r="BY936" s="84"/>
      <c r="CD936" s="84"/>
      <c r="CI936" s="128"/>
      <c r="CJ936" s="129"/>
      <c r="CL936" s="132"/>
      <c r="CM936" s="128"/>
      <c r="CN936" s="129"/>
      <c r="CP936" s="132"/>
      <c r="CQ936" s="128"/>
      <c r="CR936" s="129"/>
      <c r="CT936" s="132"/>
      <c r="CU936" s="128"/>
      <c r="CV936" s="129"/>
      <c r="CX936" s="132"/>
      <c r="CY936" s="128"/>
      <c r="CZ936" s="129"/>
      <c r="DB936" s="132"/>
      <c r="DC936" s="128"/>
      <c r="DD936" s="129"/>
      <c r="DF936" s="132"/>
      <c r="DG936" s="85"/>
      <c r="DH936" s="85"/>
      <c r="DI936" s="84"/>
      <c r="DK936" s="84"/>
      <c r="DP936" s="84"/>
      <c r="DU936" s="84"/>
      <c r="DY936" s="84"/>
      <c r="EC936" s="84"/>
      <c r="EG936" s="84"/>
      <c r="EK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128"/>
      <c r="AA937" s="129"/>
      <c r="AC937" s="130"/>
      <c r="AD937" s="128"/>
      <c r="AE937" s="129"/>
      <c r="AG937" s="130"/>
      <c r="AH937" s="128"/>
      <c r="AI937" s="129"/>
      <c r="AK937" s="130"/>
      <c r="AL937" s="128"/>
      <c r="AM937" s="129"/>
      <c r="AO937" s="130"/>
      <c r="AP937" s="128"/>
      <c r="AQ937" s="129"/>
      <c r="AS937" s="130"/>
      <c r="AT937" s="128"/>
      <c r="AU937" s="129"/>
      <c r="AW937" s="130"/>
      <c r="AX937" s="85"/>
      <c r="AY937" s="84"/>
      <c r="AZ937" s="84"/>
      <c r="BA937" s="131"/>
      <c r="BB937" s="84"/>
      <c r="BE937" s="84"/>
      <c r="BI937" s="86"/>
      <c r="BO937" s="84"/>
      <c r="BT937" s="84"/>
      <c r="BY937" s="84"/>
      <c r="CD937" s="84"/>
      <c r="CI937" s="128"/>
      <c r="CJ937" s="129"/>
      <c r="CL937" s="132"/>
      <c r="CM937" s="128"/>
      <c r="CN937" s="129"/>
      <c r="CP937" s="132"/>
      <c r="CQ937" s="128"/>
      <c r="CR937" s="129"/>
      <c r="CT937" s="132"/>
      <c r="CU937" s="128"/>
      <c r="CV937" s="129"/>
      <c r="CX937" s="132"/>
      <c r="CY937" s="128"/>
      <c r="CZ937" s="129"/>
      <c r="DB937" s="132"/>
      <c r="DC937" s="128"/>
      <c r="DD937" s="129"/>
      <c r="DF937" s="132"/>
      <c r="DG937" s="85"/>
      <c r="DH937" s="85"/>
      <c r="DI937" s="84"/>
      <c r="DK937" s="84"/>
      <c r="DP937" s="84"/>
      <c r="DU937" s="84"/>
      <c r="DY937" s="84"/>
      <c r="EC937" s="84"/>
      <c r="EG937" s="84"/>
      <c r="EK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128"/>
      <c r="AA938" s="129"/>
      <c r="AC938" s="130"/>
      <c r="AD938" s="128"/>
      <c r="AE938" s="129"/>
      <c r="AG938" s="130"/>
      <c r="AH938" s="128"/>
      <c r="AI938" s="129"/>
      <c r="AK938" s="130"/>
      <c r="AL938" s="128"/>
      <c r="AM938" s="129"/>
      <c r="AO938" s="130"/>
      <c r="AP938" s="128"/>
      <c r="AQ938" s="129"/>
      <c r="AS938" s="130"/>
      <c r="AT938" s="128"/>
      <c r="AU938" s="129"/>
      <c r="AW938" s="130"/>
      <c r="AX938" s="85"/>
      <c r="AY938" s="84"/>
      <c r="AZ938" s="84"/>
      <c r="BA938" s="131"/>
      <c r="BB938" s="84"/>
      <c r="BE938" s="84"/>
      <c r="BI938" s="86"/>
      <c r="BO938" s="84"/>
      <c r="BT938" s="84"/>
      <c r="BY938" s="84"/>
      <c r="CD938" s="84"/>
      <c r="CI938" s="128"/>
      <c r="CJ938" s="129"/>
      <c r="CL938" s="132"/>
      <c r="CM938" s="128"/>
      <c r="CN938" s="129"/>
      <c r="CP938" s="132"/>
      <c r="CQ938" s="128"/>
      <c r="CR938" s="129"/>
      <c r="CT938" s="132"/>
      <c r="CU938" s="128"/>
      <c r="CV938" s="129"/>
      <c r="CX938" s="132"/>
      <c r="CY938" s="128"/>
      <c r="CZ938" s="129"/>
      <c r="DB938" s="132"/>
      <c r="DC938" s="128"/>
      <c r="DD938" s="129"/>
      <c r="DF938" s="132"/>
      <c r="DG938" s="85"/>
      <c r="DH938" s="85"/>
      <c r="DI938" s="84"/>
      <c r="DK938" s="84"/>
      <c r="DP938" s="84"/>
      <c r="DU938" s="84"/>
      <c r="DY938" s="84"/>
      <c r="EC938" s="84"/>
      <c r="EG938" s="84"/>
      <c r="EK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128"/>
      <c r="AA939" s="129"/>
      <c r="AC939" s="130"/>
      <c r="AD939" s="128"/>
      <c r="AE939" s="129"/>
      <c r="AG939" s="130"/>
      <c r="AH939" s="128"/>
      <c r="AI939" s="129"/>
      <c r="AK939" s="130"/>
      <c r="AL939" s="128"/>
      <c r="AM939" s="129"/>
      <c r="AO939" s="130"/>
      <c r="AP939" s="128"/>
      <c r="AQ939" s="129"/>
      <c r="AS939" s="130"/>
      <c r="AT939" s="128"/>
      <c r="AU939" s="129"/>
      <c r="AW939" s="130"/>
      <c r="AX939" s="85"/>
      <c r="AY939" s="84"/>
      <c r="AZ939" s="84"/>
      <c r="BA939" s="131"/>
      <c r="BB939" s="84"/>
      <c r="BE939" s="84"/>
      <c r="BI939" s="86"/>
      <c r="BO939" s="84"/>
      <c r="BT939" s="84"/>
      <c r="BY939" s="84"/>
      <c r="CD939" s="84"/>
      <c r="CI939" s="128"/>
      <c r="CJ939" s="129"/>
      <c r="CL939" s="132"/>
      <c r="CM939" s="128"/>
      <c r="CN939" s="129"/>
      <c r="CP939" s="132"/>
      <c r="CQ939" s="128"/>
      <c r="CR939" s="129"/>
      <c r="CT939" s="132"/>
      <c r="CU939" s="128"/>
      <c r="CV939" s="129"/>
      <c r="CX939" s="132"/>
      <c r="CY939" s="128"/>
      <c r="CZ939" s="129"/>
      <c r="DB939" s="132"/>
      <c r="DC939" s="128"/>
      <c r="DD939" s="129"/>
      <c r="DF939" s="132"/>
      <c r="DG939" s="85"/>
      <c r="DH939" s="85"/>
      <c r="DI939" s="84"/>
      <c r="DK939" s="84"/>
      <c r="DP939" s="84"/>
      <c r="DU939" s="84"/>
      <c r="DY939" s="84"/>
      <c r="EC939" s="84"/>
      <c r="EG939" s="84"/>
      <c r="EK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128"/>
      <c r="AA940" s="129"/>
      <c r="AC940" s="130"/>
      <c r="AD940" s="128"/>
      <c r="AE940" s="129"/>
      <c r="AG940" s="130"/>
      <c r="AH940" s="128"/>
      <c r="AI940" s="129"/>
      <c r="AK940" s="130"/>
      <c r="AL940" s="128"/>
      <c r="AM940" s="129"/>
      <c r="AO940" s="130"/>
      <c r="AP940" s="128"/>
      <c r="AQ940" s="129"/>
      <c r="AS940" s="130"/>
      <c r="AT940" s="128"/>
      <c r="AU940" s="129"/>
      <c r="AW940" s="130"/>
      <c r="AX940" s="85"/>
      <c r="AY940" s="84"/>
      <c r="AZ940" s="84"/>
      <c r="BA940" s="131"/>
      <c r="BB940" s="84"/>
      <c r="BE940" s="84"/>
      <c r="BI940" s="86"/>
      <c r="BO940" s="84"/>
      <c r="BT940" s="84"/>
      <c r="BY940" s="84"/>
      <c r="CD940" s="84"/>
      <c r="CI940" s="128"/>
      <c r="CJ940" s="129"/>
      <c r="CL940" s="132"/>
      <c r="CM940" s="128"/>
      <c r="CN940" s="129"/>
      <c r="CP940" s="132"/>
      <c r="CQ940" s="128"/>
      <c r="CR940" s="129"/>
      <c r="CT940" s="132"/>
      <c r="CU940" s="128"/>
      <c r="CV940" s="129"/>
      <c r="CX940" s="132"/>
      <c r="CY940" s="128"/>
      <c r="CZ940" s="129"/>
      <c r="DB940" s="132"/>
      <c r="DC940" s="128"/>
      <c r="DD940" s="129"/>
      <c r="DF940" s="132"/>
      <c r="DG940" s="85"/>
      <c r="DH940" s="85"/>
      <c r="DI940" s="84"/>
      <c r="DK940" s="84"/>
      <c r="DP940" s="84"/>
      <c r="DU940" s="84"/>
      <c r="DY940" s="84"/>
      <c r="EC940" s="84"/>
      <c r="EG940" s="84"/>
      <c r="EK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128"/>
      <c r="AA941" s="129"/>
      <c r="AC941" s="130"/>
      <c r="AD941" s="128"/>
      <c r="AE941" s="129"/>
      <c r="AG941" s="130"/>
      <c r="AH941" s="128"/>
      <c r="AI941" s="129"/>
      <c r="AK941" s="130"/>
      <c r="AL941" s="128"/>
      <c r="AM941" s="129"/>
      <c r="AO941" s="130"/>
      <c r="AP941" s="128"/>
      <c r="AQ941" s="129"/>
      <c r="AS941" s="130"/>
      <c r="AT941" s="128"/>
      <c r="AU941" s="129"/>
      <c r="AW941" s="130"/>
      <c r="AX941" s="85"/>
      <c r="AY941" s="84"/>
      <c r="AZ941" s="84"/>
      <c r="BA941" s="131"/>
      <c r="BB941" s="84"/>
      <c r="BE941" s="84"/>
      <c r="BI941" s="86"/>
      <c r="BO941" s="84"/>
      <c r="BT941" s="84"/>
      <c r="BY941" s="84"/>
      <c r="CD941" s="84"/>
      <c r="CI941" s="128"/>
      <c r="CJ941" s="129"/>
      <c r="CL941" s="132"/>
      <c r="CM941" s="128"/>
      <c r="CN941" s="129"/>
      <c r="CP941" s="132"/>
      <c r="CQ941" s="128"/>
      <c r="CR941" s="129"/>
      <c r="CT941" s="132"/>
      <c r="CU941" s="128"/>
      <c r="CV941" s="129"/>
      <c r="CX941" s="132"/>
      <c r="CY941" s="128"/>
      <c r="CZ941" s="129"/>
      <c r="DB941" s="132"/>
      <c r="DC941" s="128"/>
      <c r="DD941" s="129"/>
      <c r="DF941" s="132"/>
      <c r="DG941" s="85"/>
      <c r="DH941" s="85"/>
      <c r="DI941" s="84"/>
      <c r="DK941" s="84"/>
      <c r="DP941" s="84"/>
      <c r="DU941" s="84"/>
      <c r="DY941" s="84"/>
      <c r="EC941" s="84"/>
      <c r="EG941" s="84"/>
      <c r="EK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128"/>
      <c r="AA942" s="129"/>
      <c r="AC942" s="130"/>
      <c r="AD942" s="128"/>
      <c r="AE942" s="129"/>
      <c r="AG942" s="130"/>
      <c r="AH942" s="128"/>
      <c r="AI942" s="129"/>
      <c r="AK942" s="130"/>
      <c r="AL942" s="128"/>
      <c r="AM942" s="129"/>
      <c r="AO942" s="130"/>
      <c r="AP942" s="128"/>
      <c r="AQ942" s="129"/>
      <c r="AS942" s="130"/>
      <c r="AT942" s="128"/>
      <c r="AU942" s="129"/>
      <c r="AW942" s="130"/>
      <c r="AX942" s="85"/>
      <c r="AY942" s="84"/>
      <c r="AZ942" s="84"/>
      <c r="BA942" s="131"/>
      <c r="BB942" s="84"/>
      <c r="BE942" s="84"/>
      <c r="BI942" s="86"/>
      <c r="BO942" s="84"/>
      <c r="BT942" s="84"/>
      <c r="BY942" s="84"/>
      <c r="CD942" s="84"/>
      <c r="CI942" s="128"/>
      <c r="CJ942" s="129"/>
      <c r="CL942" s="132"/>
      <c r="CM942" s="128"/>
      <c r="CN942" s="129"/>
      <c r="CP942" s="132"/>
      <c r="CQ942" s="128"/>
      <c r="CR942" s="129"/>
      <c r="CT942" s="132"/>
      <c r="CU942" s="128"/>
      <c r="CV942" s="129"/>
      <c r="CX942" s="132"/>
      <c r="CY942" s="128"/>
      <c r="CZ942" s="129"/>
      <c r="DB942" s="132"/>
      <c r="DC942" s="128"/>
      <c r="DD942" s="129"/>
      <c r="DF942" s="132"/>
      <c r="DG942" s="85"/>
      <c r="DH942" s="85"/>
      <c r="DI942" s="84"/>
      <c r="DK942" s="84"/>
      <c r="DP942" s="84"/>
      <c r="DU942" s="84"/>
      <c r="DY942" s="84"/>
      <c r="EC942" s="84"/>
      <c r="EG942" s="84"/>
      <c r="EK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128"/>
      <c r="AA943" s="129"/>
      <c r="AC943" s="130"/>
      <c r="AD943" s="128"/>
      <c r="AE943" s="129"/>
      <c r="AG943" s="130"/>
      <c r="AH943" s="128"/>
      <c r="AI943" s="129"/>
      <c r="AK943" s="130"/>
      <c r="AL943" s="128"/>
      <c r="AM943" s="129"/>
      <c r="AO943" s="130"/>
      <c r="AP943" s="128"/>
      <c r="AQ943" s="129"/>
      <c r="AS943" s="130"/>
      <c r="AT943" s="128"/>
      <c r="AU943" s="129"/>
      <c r="AW943" s="130"/>
      <c r="AX943" s="85"/>
      <c r="AY943" s="84"/>
      <c r="AZ943" s="84"/>
      <c r="BA943" s="131"/>
      <c r="BB943" s="84"/>
      <c r="BE943" s="84"/>
      <c r="BI943" s="86"/>
      <c r="BO943" s="84"/>
      <c r="BT943" s="84"/>
      <c r="BY943" s="84"/>
      <c r="CD943" s="84"/>
      <c r="CI943" s="128"/>
      <c r="CJ943" s="129"/>
      <c r="CL943" s="132"/>
      <c r="CM943" s="128"/>
      <c r="CN943" s="129"/>
      <c r="CP943" s="132"/>
      <c r="CQ943" s="128"/>
      <c r="CR943" s="129"/>
      <c r="CT943" s="132"/>
      <c r="CU943" s="128"/>
      <c r="CV943" s="129"/>
      <c r="CX943" s="132"/>
      <c r="CY943" s="128"/>
      <c r="CZ943" s="129"/>
      <c r="DB943" s="132"/>
      <c r="DC943" s="128"/>
      <c r="DD943" s="129"/>
      <c r="DF943" s="132"/>
      <c r="DG943" s="85"/>
      <c r="DH943" s="85"/>
      <c r="DI943" s="84"/>
      <c r="DK943" s="84"/>
      <c r="DP943" s="84"/>
      <c r="DU943" s="84"/>
      <c r="DY943" s="84"/>
      <c r="EC943" s="84"/>
      <c r="EG943" s="84"/>
      <c r="EK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128"/>
      <c r="AA944" s="129"/>
      <c r="AC944" s="130"/>
      <c r="AD944" s="128"/>
      <c r="AE944" s="129"/>
      <c r="AG944" s="130"/>
      <c r="AH944" s="128"/>
      <c r="AI944" s="129"/>
      <c r="AK944" s="130"/>
      <c r="AL944" s="128"/>
      <c r="AM944" s="129"/>
      <c r="AO944" s="130"/>
      <c r="AP944" s="128"/>
      <c r="AQ944" s="129"/>
      <c r="AS944" s="130"/>
      <c r="AT944" s="128"/>
      <c r="AU944" s="129"/>
      <c r="AW944" s="130"/>
      <c r="AX944" s="85"/>
      <c r="AY944" s="84"/>
      <c r="AZ944" s="84"/>
      <c r="BA944" s="131"/>
      <c r="BB944" s="84"/>
      <c r="BE944" s="84"/>
      <c r="BI944" s="86"/>
      <c r="BO944" s="84"/>
      <c r="BT944" s="84"/>
      <c r="BY944" s="84"/>
      <c r="CD944" s="84"/>
      <c r="CI944" s="128"/>
      <c r="CJ944" s="129"/>
      <c r="CL944" s="132"/>
      <c r="CM944" s="128"/>
      <c r="CN944" s="129"/>
      <c r="CP944" s="132"/>
      <c r="CQ944" s="128"/>
      <c r="CR944" s="129"/>
      <c r="CT944" s="132"/>
      <c r="CU944" s="128"/>
      <c r="CV944" s="129"/>
      <c r="CX944" s="132"/>
      <c r="CY944" s="128"/>
      <c r="CZ944" s="129"/>
      <c r="DB944" s="132"/>
      <c r="DC944" s="128"/>
      <c r="DD944" s="129"/>
      <c r="DF944" s="132"/>
      <c r="DG944" s="85"/>
      <c r="DH944" s="85"/>
      <c r="DI944" s="84"/>
      <c r="DK944" s="84"/>
      <c r="DP944" s="84"/>
      <c r="DU944" s="84"/>
      <c r="DY944" s="84"/>
      <c r="EC944" s="84"/>
      <c r="EG944" s="84"/>
      <c r="EK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128"/>
      <c r="AA945" s="129"/>
      <c r="AC945" s="130"/>
      <c r="AD945" s="128"/>
      <c r="AE945" s="129"/>
      <c r="AG945" s="130"/>
      <c r="AH945" s="128"/>
      <c r="AI945" s="129"/>
      <c r="AK945" s="130"/>
      <c r="AL945" s="128"/>
      <c r="AM945" s="129"/>
      <c r="AO945" s="130"/>
      <c r="AP945" s="128"/>
      <c r="AQ945" s="129"/>
      <c r="AS945" s="130"/>
      <c r="AT945" s="128"/>
      <c r="AU945" s="129"/>
      <c r="AW945" s="130"/>
      <c r="AX945" s="85"/>
      <c r="AY945" s="84"/>
      <c r="AZ945" s="84"/>
      <c r="BA945" s="131"/>
      <c r="BB945" s="84"/>
      <c r="BE945" s="84"/>
      <c r="BI945" s="86"/>
      <c r="BO945" s="84"/>
      <c r="BT945" s="84"/>
      <c r="BY945" s="84"/>
      <c r="CD945" s="84"/>
      <c r="CI945" s="128"/>
      <c r="CJ945" s="129"/>
      <c r="CL945" s="132"/>
      <c r="CM945" s="128"/>
      <c r="CN945" s="129"/>
      <c r="CP945" s="132"/>
      <c r="CQ945" s="128"/>
      <c r="CR945" s="129"/>
      <c r="CT945" s="132"/>
      <c r="CU945" s="128"/>
      <c r="CV945" s="129"/>
      <c r="CX945" s="132"/>
      <c r="CY945" s="128"/>
      <c r="CZ945" s="129"/>
      <c r="DB945" s="132"/>
      <c r="DC945" s="128"/>
      <c r="DD945" s="129"/>
      <c r="DF945" s="132"/>
      <c r="DG945" s="85"/>
      <c r="DH945" s="85"/>
      <c r="DI945" s="84"/>
      <c r="DK945" s="84"/>
      <c r="DP945" s="84"/>
      <c r="DU945" s="84"/>
      <c r="DY945" s="84"/>
      <c r="EC945" s="84"/>
      <c r="EG945" s="84"/>
      <c r="EK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128"/>
      <c r="AA946" s="129"/>
      <c r="AC946" s="130"/>
      <c r="AD946" s="128"/>
      <c r="AE946" s="129"/>
      <c r="AG946" s="130"/>
      <c r="AH946" s="128"/>
      <c r="AI946" s="129"/>
      <c r="AK946" s="130"/>
      <c r="AL946" s="128"/>
      <c r="AM946" s="129"/>
      <c r="AO946" s="130"/>
      <c r="AP946" s="128"/>
      <c r="AQ946" s="129"/>
      <c r="AS946" s="130"/>
      <c r="AT946" s="128"/>
      <c r="AU946" s="129"/>
      <c r="AW946" s="130"/>
      <c r="AX946" s="85"/>
      <c r="AY946" s="84"/>
      <c r="AZ946" s="84"/>
      <c r="BA946" s="131"/>
      <c r="BB946" s="84"/>
      <c r="BE946" s="84"/>
      <c r="BI946" s="86"/>
      <c r="BO946" s="84"/>
      <c r="BT946" s="84"/>
      <c r="BY946" s="84"/>
      <c r="CD946" s="84"/>
      <c r="CI946" s="128"/>
      <c r="CJ946" s="129"/>
      <c r="CL946" s="132"/>
      <c r="CM946" s="128"/>
      <c r="CN946" s="129"/>
      <c r="CP946" s="132"/>
      <c r="CQ946" s="128"/>
      <c r="CR946" s="129"/>
      <c r="CT946" s="132"/>
      <c r="CU946" s="128"/>
      <c r="CV946" s="129"/>
      <c r="CX946" s="132"/>
      <c r="CY946" s="128"/>
      <c r="CZ946" s="129"/>
      <c r="DB946" s="132"/>
      <c r="DC946" s="128"/>
      <c r="DD946" s="129"/>
      <c r="DF946" s="132"/>
      <c r="DG946" s="85"/>
      <c r="DH946" s="85"/>
      <c r="DI946" s="84"/>
      <c r="DK946" s="84"/>
      <c r="DP946" s="84"/>
      <c r="DU946" s="84"/>
      <c r="DY946" s="84"/>
      <c r="EC946" s="84"/>
      <c r="EG946" s="84"/>
      <c r="EK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128"/>
      <c r="AA947" s="129"/>
      <c r="AC947" s="130"/>
      <c r="AD947" s="128"/>
      <c r="AE947" s="129"/>
      <c r="AG947" s="130"/>
      <c r="AH947" s="128"/>
      <c r="AI947" s="129"/>
      <c r="AK947" s="130"/>
      <c r="AL947" s="128"/>
      <c r="AM947" s="129"/>
      <c r="AO947" s="130"/>
      <c r="AP947" s="128"/>
      <c r="AQ947" s="129"/>
      <c r="AS947" s="130"/>
      <c r="AT947" s="128"/>
      <c r="AU947" s="129"/>
      <c r="AW947" s="130"/>
      <c r="AX947" s="85"/>
      <c r="AY947" s="84"/>
      <c r="AZ947" s="84"/>
      <c r="BA947" s="131"/>
      <c r="BB947" s="84"/>
      <c r="BE947" s="84"/>
      <c r="BI947" s="86"/>
      <c r="BO947" s="84"/>
      <c r="BT947" s="84"/>
      <c r="BY947" s="84"/>
      <c r="CD947" s="84"/>
      <c r="CI947" s="128"/>
      <c r="CJ947" s="129"/>
      <c r="CL947" s="132"/>
      <c r="CM947" s="128"/>
      <c r="CN947" s="129"/>
      <c r="CP947" s="132"/>
      <c r="CQ947" s="128"/>
      <c r="CR947" s="129"/>
      <c r="CT947" s="132"/>
      <c r="CU947" s="128"/>
      <c r="CV947" s="129"/>
      <c r="CX947" s="132"/>
      <c r="CY947" s="128"/>
      <c r="CZ947" s="129"/>
      <c r="DB947" s="132"/>
      <c r="DC947" s="128"/>
      <c r="DD947" s="129"/>
      <c r="DF947" s="132"/>
      <c r="DG947" s="85"/>
      <c r="DH947" s="85"/>
      <c r="DI947" s="84"/>
      <c r="DK947" s="84"/>
      <c r="DP947" s="84"/>
      <c r="DU947" s="84"/>
      <c r="DY947" s="84"/>
      <c r="EC947" s="84"/>
      <c r="EG947" s="84"/>
      <c r="EK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128"/>
      <c r="AA948" s="129"/>
      <c r="AC948" s="130"/>
      <c r="AD948" s="128"/>
      <c r="AE948" s="129"/>
      <c r="AG948" s="130"/>
      <c r="AH948" s="128"/>
      <c r="AI948" s="129"/>
      <c r="AK948" s="130"/>
      <c r="AL948" s="128"/>
      <c r="AM948" s="129"/>
      <c r="AO948" s="130"/>
      <c r="AP948" s="128"/>
      <c r="AQ948" s="129"/>
      <c r="AS948" s="130"/>
      <c r="AT948" s="128"/>
      <c r="AU948" s="129"/>
      <c r="AW948" s="130"/>
      <c r="AX948" s="85"/>
      <c r="AY948" s="84"/>
      <c r="AZ948" s="84"/>
      <c r="BA948" s="131"/>
      <c r="BB948" s="84"/>
      <c r="BE948" s="84"/>
      <c r="BI948" s="86"/>
      <c r="BO948" s="84"/>
      <c r="BT948" s="84"/>
      <c r="BY948" s="84"/>
      <c r="CD948" s="84"/>
      <c r="CI948" s="128"/>
      <c r="CJ948" s="129"/>
      <c r="CL948" s="132"/>
      <c r="CM948" s="128"/>
      <c r="CN948" s="129"/>
      <c r="CP948" s="132"/>
      <c r="CQ948" s="128"/>
      <c r="CR948" s="129"/>
      <c r="CT948" s="132"/>
      <c r="CU948" s="128"/>
      <c r="CV948" s="129"/>
      <c r="CX948" s="132"/>
      <c r="CY948" s="128"/>
      <c r="CZ948" s="129"/>
      <c r="DB948" s="132"/>
      <c r="DC948" s="128"/>
      <c r="DD948" s="129"/>
      <c r="DF948" s="132"/>
      <c r="DG948" s="85"/>
      <c r="DH948" s="85"/>
      <c r="DI948" s="84"/>
      <c r="DK948" s="84"/>
      <c r="DP948" s="84"/>
      <c r="DU948" s="84"/>
      <c r="DY948" s="84"/>
      <c r="EC948" s="84"/>
      <c r="EG948" s="84"/>
      <c r="EK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128"/>
      <c r="AA949" s="129"/>
      <c r="AC949" s="130"/>
      <c r="AD949" s="128"/>
      <c r="AE949" s="129"/>
      <c r="AG949" s="130"/>
      <c r="AH949" s="128"/>
      <c r="AI949" s="129"/>
      <c r="AK949" s="130"/>
      <c r="AL949" s="128"/>
      <c r="AM949" s="129"/>
      <c r="AO949" s="130"/>
      <c r="AP949" s="128"/>
      <c r="AQ949" s="129"/>
      <c r="AS949" s="130"/>
      <c r="AT949" s="128"/>
      <c r="AU949" s="129"/>
      <c r="AW949" s="130"/>
      <c r="AX949" s="85"/>
      <c r="AY949" s="84"/>
      <c r="AZ949" s="84"/>
      <c r="BA949" s="131"/>
      <c r="BB949" s="84"/>
      <c r="BE949" s="84"/>
      <c r="BI949" s="86"/>
      <c r="BO949" s="84"/>
      <c r="BT949" s="84"/>
      <c r="BY949" s="84"/>
      <c r="CD949" s="84"/>
      <c r="CI949" s="128"/>
      <c r="CJ949" s="129"/>
      <c r="CL949" s="132"/>
      <c r="CM949" s="128"/>
      <c r="CN949" s="129"/>
      <c r="CP949" s="132"/>
      <c r="CQ949" s="128"/>
      <c r="CR949" s="129"/>
      <c r="CT949" s="132"/>
      <c r="CU949" s="128"/>
      <c r="CV949" s="129"/>
      <c r="CX949" s="132"/>
      <c r="CY949" s="128"/>
      <c r="CZ949" s="129"/>
      <c r="DB949" s="132"/>
      <c r="DC949" s="128"/>
      <c r="DD949" s="129"/>
      <c r="DF949" s="132"/>
      <c r="DG949" s="85"/>
      <c r="DH949" s="85"/>
      <c r="DI949" s="84"/>
      <c r="DK949" s="84"/>
      <c r="DP949" s="84"/>
      <c r="DU949" s="84"/>
      <c r="DY949" s="84"/>
      <c r="EC949" s="84"/>
      <c r="EG949" s="84"/>
      <c r="EK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128"/>
      <c r="AA950" s="129"/>
      <c r="AC950" s="130"/>
      <c r="AD950" s="128"/>
      <c r="AE950" s="129"/>
      <c r="AG950" s="130"/>
      <c r="AH950" s="128"/>
      <c r="AI950" s="129"/>
      <c r="AK950" s="130"/>
      <c r="AL950" s="128"/>
      <c r="AM950" s="129"/>
      <c r="AO950" s="130"/>
      <c r="AP950" s="128"/>
      <c r="AQ950" s="129"/>
      <c r="AS950" s="130"/>
      <c r="AT950" s="128"/>
      <c r="AU950" s="129"/>
      <c r="AW950" s="130"/>
      <c r="AX950" s="85"/>
      <c r="AY950" s="84"/>
      <c r="AZ950" s="84"/>
      <c r="BA950" s="131"/>
      <c r="BB950" s="84"/>
      <c r="BE950" s="84"/>
      <c r="BI950" s="86"/>
      <c r="BO950" s="84"/>
      <c r="BT950" s="84"/>
      <c r="BY950" s="84"/>
      <c r="CD950" s="84"/>
      <c r="CI950" s="128"/>
      <c r="CJ950" s="129"/>
      <c r="CL950" s="132"/>
      <c r="CM950" s="128"/>
      <c r="CN950" s="129"/>
      <c r="CP950" s="132"/>
      <c r="CQ950" s="128"/>
      <c r="CR950" s="129"/>
      <c r="CT950" s="132"/>
      <c r="CU950" s="128"/>
      <c r="CV950" s="129"/>
      <c r="CX950" s="132"/>
      <c r="CY950" s="128"/>
      <c r="CZ950" s="129"/>
      <c r="DB950" s="132"/>
      <c r="DC950" s="128"/>
      <c r="DD950" s="129"/>
      <c r="DF950" s="132"/>
      <c r="DG950" s="85"/>
      <c r="DH950" s="85"/>
      <c r="DI950" s="84"/>
      <c r="DK950" s="84"/>
      <c r="DP950" s="84"/>
      <c r="DU950" s="84"/>
      <c r="DY950" s="84"/>
      <c r="EC950" s="84"/>
      <c r="EG950" s="84"/>
      <c r="EK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128"/>
      <c r="AA951" s="129"/>
      <c r="AC951" s="130"/>
      <c r="AD951" s="128"/>
      <c r="AE951" s="129"/>
      <c r="AG951" s="130"/>
      <c r="AH951" s="128"/>
      <c r="AI951" s="129"/>
      <c r="AK951" s="130"/>
      <c r="AL951" s="128"/>
      <c r="AM951" s="129"/>
      <c r="AO951" s="130"/>
      <c r="AP951" s="128"/>
      <c r="AQ951" s="129"/>
      <c r="AS951" s="130"/>
      <c r="AT951" s="128"/>
      <c r="AU951" s="129"/>
      <c r="AW951" s="130"/>
      <c r="AX951" s="85"/>
      <c r="AY951" s="84"/>
      <c r="AZ951" s="84"/>
      <c r="BA951" s="131"/>
      <c r="BB951" s="84"/>
      <c r="BE951" s="84"/>
      <c r="BI951" s="86"/>
      <c r="BO951" s="84"/>
      <c r="BT951" s="84"/>
      <c r="BY951" s="84"/>
      <c r="CD951" s="84"/>
      <c r="CI951" s="128"/>
      <c r="CJ951" s="129"/>
      <c r="CL951" s="132"/>
      <c r="CM951" s="128"/>
      <c r="CN951" s="129"/>
      <c r="CP951" s="132"/>
      <c r="CQ951" s="128"/>
      <c r="CR951" s="129"/>
      <c r="CT951" s="132"/>
      <c r="CU951" s="128"/>
      <c r="CV951" s="129"/>
      <c r="CX951" s="132"/>
      <c r="CY951" s="128"/>
      <c r="CZ951" s="129"/>
      <c r="DB951" s="132"/>
      <c r="DC951" s="128"/>
      <c r="DD951" s="129"/>
      <c r="DF951" s="132"/>
      <c r="DG951" s="85"/>
      <c r="DH951" s="85"/>
      <c r="DI951" s="84"/>
      <c r="DK951" s="84"/>
      <c r="DP951" s="84"/>
      <c r="DU951" s="84"/>
      <c r="DY951" s="84"/>
      <c r="EC951" s="84"/>
      <c r="EG951" s="84"/>
      <c r="EK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128"/>
      <c r="AA952" s="129"/>
      <c r="AC952" s="130"/>
      <c r="AD952" s="128"/>
      <c r="AE952" s="129"/>
      <c r="AG952" s="130"/>
      <c r="AH952" s="128"/>
      <c r="AI952" s="129"/>
      <c r="AK952" s="130"/>
      <c r="AL952" s="128"/>
      <c r="AM952" s="129"/>
      <c r="AO952" s="130"/>
      <c r="AP952" s="128"/>
      <c r="AQ952" s="129"/>
      <c r="AS952" s="130"/>
      <c r="AT952" s="128"/>
      <c r="AU952" s="129"/>
      <c r="AW952" s="130"/>
      <c r="AX952" s="85"/>
      <c r="AY952" s="84"/>
      <c r="AZ952" s="84"/>
      <c r="BA952" s="131"/>
      <c r="BB952" s="84"/>
      <c r="BE952" s="84"/>
      <c r="BI952" s="86"/>
      <c r="BO952" s="84"/>
      <c r="BT952" s="84"/>
      <c r="BY952" s="84"/>
      <c r="CD952" s="84"/>
      <c r="CI952" s="128"/>
      <c r="CJ952" s="129"/>
      <c r="CL952" s="132"/>
      <c r="CM952" s="128"/>
      <c r="CN952" s="129"/>
      <c r="CP952" s="132"/>
      <c r="CQ952" s="128"/>
      <c r="CR952" s="129"/>
      <c r="CT952" s="132"/>
      <c r="CU952" s="128"/>
      <c r="CV952" s="129"/>
      <c r="CX952" s="132"/>
      <c r="CY952" s="128"/>
      <c r="CZ952" s="129"/>
      <c r="DB952" s="132"/>
      <c r="DC952" s="128"/>
      <c r="DD952" s="129"/>
      <c r="DF952" s="132"/>
      <c r="DG952" s="85"/>
      <c r="DH952" s="85"/>
      <c r="DI952" s="84"/>
      <c r="DK952" s="84"/>
      <c r="DP952" s="84"/>
      <c r="DU952" s="84"/>
      <c r="DY952" s="84"/>
      <c r="EC952" s="84"/>
      <c r="EG952" s="84"/>
      <c r="EK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128"/>
      <c r="AA953" s="129"/>
      <c r="AC953" s="130"/>
      <c r="AD953" s="128"/>
      <c r="AE953" s="129"/>
      <c r="AG953" s="130"/>
      <c r="AH953" s="128"/>
      <c r="AI953" s="129"/>
      <c r="AK953" s="130"/>
      <c r="AL953" s="128"/>
      <c r="AM953" s="129"/>
      <c r="AO953" s="130"/>
      <c r="AP953" s="128"/>
      <c r="AQ953" s="129"/>
      <c r="AS953" s="130"/>
      <c r="AT953" s="128"/>
      <c r="AU953" s="129"/>
      <c r="AW953" s="130"/>
      <c r="AX953" s="85"/>
      <c r="AY953" s="84"/>
      <c r="AZ953" s="84"/>
      <c r="BA953" s="131"/>
      <c r="BB953" s="84"/>
      <c r="BE953" s="84"/>
      <c r="BI953" s="86"/>
      <c r="BO953" s="84"/>
      <c r="BT953" s="84"/>
      <c r="BY953" s="84"/>
      <c r="CD953" s="84"/>
      <c r="CI953" s="128"/>
      <c r="CJ953" s="129"/>
      <c r="CL953" s="132"/>
      <c r="CM953" s="128"/>
      <c r="CN953" s="129"/>
      <c r="CP953" s="132"/>
      <c r="CQ953" s="128"/>
      <c r="CR953" s="129"/>
      <c r="CT953" s="132"/>
      <c r="CU953" s="128"/>
      <c r="CV953" s="129"/>
      <c r="CX953" s="132"/>
      <c r="CY953" s="128"/>
      <c r="CZ953" s="129"/>
      <c r="DB953" s="132"/>
      <c r="DC953" s="128"/>
      <c r="DD953" s="129"/>
      <c r="DF953" s="132"/>
      <c r="DG953" s="85"/>
      <c r="DH953" s="85"/>
      <c r="DI953" s="84"/>
      <c r="DK953" s="84"/>
      <c r="DP953" s="84"/>
      <c r="DU953" s="84"/>
      <c r="DY953" s="84"/>
      <c r="EC953" s="84"/>
      <c r="EG953" s="84"/>
      <c r="EK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128"/>
      <c r="AA954" s="129"/>
      <c r="AC954" s="130"/>
      <c r="AD954" s="128"/>
      <c r="AE954" s="129"/>
      <c r="AG954" s="130"/>
      <c r="AH954" s="128"/>
      <c r="AI954" s="129"/>
      <c r="AK954" s="130"/>
      <c r="AL954" s="128"/>
      <c r="AM954" s="129"/>
      <c r="AO954" s="130"/>
      <c r="AP954" s="128"/>
      <c r="AQ954" s="129"/>
      <c r="AS954" s="130"/>
      <c r="AT954" s="128"/>
      <c r="AU954" s="129"/>
      <c r="AW954" s="130"/>
      <c r="AX954" s="85"/>
      <c r="AY954" s="84"/>
      <c r="AZ954" s="84"/>
      <c r="BA954" s="131"/>
      <c r="BB954" s="84"/>
      <c r="BE954" s="84"/>
      <c r="BI954" s="86"/>
      <c r="BO954" s="84"/>
      <c r="BT954" s="84"/>
      <c r="BY954" s="84"/>
      <c r="CD954" s="84"/>
      <c r="CI954" s="128"/>
      <c r="CJ954" s="129"/>
      <c r="CL954" s="132"/>
      <c r="CM954" s="128"/>
      <c r="CN954" s="129"/>
      <c r="CP954" s="132"/>
      <c r="CQ954" s="128"/>
      <c r="CR954" s="129"/>
      <c r="CT954" s="132"/>
      <c r="CU954" s="128"/>
      <c r="CV954" s="129"/>
      <c r="CX954" s="132"/>
      <c r="CY954" s="128"/>
      <c r="CZ954" s="129"/>
      <c r="DB954" s="132"/>
      <c r="DC954" s="128"/>
      <c r="DD954" s="129"/>
      <c r="DF954" s="132"/>
      <c r="DG954" s="85"/>
      <c r="DH954" s="85"/>
      <c r="DI954" s="84"/>
      <c r="DK954" s="84"/>
      <c r="DP954" s="84"/>
      <c r="DU954" s="84"/>
      <c r="DY954" s="84"/>
      <c r="EC954" s="84"/>
      <c r="EG954" s="84"/>
      <c r="EK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128"/>
      <c r="AA955" s="129"/>
      <c r="AC955" s="130"/>
      <c r="AD955" s="128"/>
      <c r="AE955" s="129"/>
      <c r="AG955" s="130"/>
      <c r="AH955" s="128"/>
      <c r="AI955" s="129"/>
      <c r="AK955" s="130"/>
      <c r="AL955" s="128"/>
      <c r="AM955" s="129"/>
      <c r="AO955" s="130"/>
      <c r="AP955" s="128"/>
      <c r="AQ955" s="129"/>
      <c r="AS955" s="130"/>
      <c r="AT955" s="128"/>
      <c r="AU955" s="129"/>
      <c r="AW955" s="130"/>
      <c r="AX955" s="85"/>
      <c r="AY955" s="84"/>
      <c r="AZ955" s="84"/>
      <c r="BA955" s="131"/>
      <c r="BB955" s="84"/>
      <c r="BE955" s="84"/>
      <c r="BI955" s="86"/>
      <c r="BO955" s="84"/>
      <c r="BT955" s="84"/>
      <c r="BY955" s="84"/>
      <c r="CD955" s="84"/>
      <c r="CI955" s="128"/>
      <c r="CJ955" s="129"/>
      <c r="CL955" s="132"/>
      <c r="CM955" s="128"/>
      <c r="CN955" s="129"/>
      <c r="CP955" s="132"/>
      <c r="CQ955" s="128"/>
      <c r="CR955" s="129"/>
      <c r="CT955" s="132"/>
      <c r="CU955" s="128"/>
      <c r="CV955" s="129"/>
      <c r="CX955" s="132"/>
      <c r="CY955" s="128"/>
      <c r="CZ955" s="129"/>
      <c r="DB955" s="132"/>
      <c r="DC955" s="128"/>
      <c r="DD955" s="129"/>
      <c r="DF955" s="132"/>
      <c r="DG955" s="85"/>
      <c r="DH955" s="85"/>
      <c r="DI955" s="84"/>
      <c r="DK955" s="84"/>
      <c r="DP955" s="84"/>
      <c r="DU955" s="84"/>
      <c r="DY955" s="84"/>
      <c r="EC955" s="84"/>
      <c r="EG955" s="84"/>
      <c r="EK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128"/>
      <c r="AA956" s="129"/>
      <c r="AC956" s="130"/>
      <c r="AD956" s="128"/>
      <c r="AE956" s="129"/>
      <c r="AG956" s="130"/>
      <c r="AH956" s="128"/>
      <c r="AI956" s="129"/>
      <c r="AK956" s="130"/>
      <c r="AL956" s="128"/>
      <c r="AM956" s="129"/>
      <c r="AO956" s="130"/>
      <c r="AP956" s="128"/>
      <c r="AQ956" s="129"/>
      <c r="AS956" s="130"/>
      <c r="AT956" s="128"/>
      <c r="AU956" s="129"/>
      <c r="AW956" s="130"/>
      <c r="AX956" s="85"/>
      <c r="AY956" s="84"/>
      <c r="AZ956" s="84"/>
      <c r="BA956" s="131"/>
      <c r="BB956" s="84"/>
      <c r="BE956" s="84"/>
      <c r="BI956" s="86"/>
      <c r="BO956" s="84"/>
      <c r="BT956" s="84"/>
      <c r="BY956" s="84"/>
      <c r="CD956" s="84"/>
      <c r="CI956" s="128"/>
      <c r="CJ956" s="129"/>
      <c r="CL956" s="132"/>
      <c r="CM956" s="128"/>
      <c r="CN956" s="129"/>
      <c r="CP956" s="132"/>
      <c r="CQ956" s="128"/>
      <c r="CR956" s="129"/>
      <c r="CT956" s="132"/>
      <c r="CU956" s="128"/>
      <c r="CV956" s="129"/>
      <c r="CX956" s="132"/>
      <c r="CY956" s="128"/>
      <c r="CZ956" s="129"/>
      <c r="DB956" s="132"/>
      <c r="DC956" s="128"/>
      <c r="DD956" s="129"/>
      <c r="DF956" s="132"/>
      <c r="DG956" s="85"/>
      <c r="DH956" s="85"/>
      <c r="DI956" s="84"/>
      <c r="DK956" s="84"/>
      <c r="DP956" s="84"/>
      <c r="DU956" s="84"/>
      <c r="DY956" s="84"/>
      <c r="EC956" s="84"/>
      <c r="EG956" s="84"/>
      <c r="EK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128"/>
      <c r="AA957" s="129"/>
      <c r="AC957" s="130"/>
      <c r="AD957" s="128"/>
      <c r="AE957" s="129"/>
      <c r="AG957" s="130"/>
      <c r="AH957" s="128"/>
      <c r="AI957" s="129"/>
      <c r="AK957" s="130"/>
      <c r="AL957" s="128"/>
      <c r="AM957" s="129"/>
      <c r="AO957" s="130"/>
      <c r="AP957" s="128"/>
      <c r="AQ957" s="129"/>
      <c r="AS957" s="130"/>
      <c r="AT957" s="128"/>
      <c r="AU957" s="129"/>
      <c r="AW957" s="130"/>
      <c r="AX957" s="85"/>
      <c r="AY957" s="84"/>
      <c r="AZ957" s="84"/>
      <c r="BA957" s="131"/>
      <c r="BB957" s="84"/>
      <c r="BE957" s="84"/>
      <c r="BI957" s="86"/>
      <c r="BO957" s="84"/>
      <c r="BT957" s="84"/>
      <c r="BY957" s="84"/>
      <c r="CD957" s="84"/>
      <c r="CI957" s="128"/>
      <c r="CJ957" s="129"/>
      <c r="CL957" s="132"/>
      <c r="CM957" s="128"/>
      <c r="CN957" s="129"/>
      <c r="CP957" s="132"/>
      <c r="CQ957" s="128"/>
      <c r="CR957" s="129"/>
      <c r="CT957" s="132"/>
      <c r="CU957" s="128"/>
      <c r="CV957" s="129"/>
      <c r="CX957" s="132"/>
      <c r="CY957" s="128"/>
      <c r="CZ957" s="129"/>
      <c r="DB957" s="132"/>
      <c r="DC957" s="128"/>
      <c r="DD957" s="129"/>
      <c r="DF957" s="132"/>
      <c r="DG957" s="85"/>
      <c r="DH957" s="85"/>
      <c r="DI957" s="84"/>
      <c r="DK957" s="84"/>
      <c r="DP957" s="84"/>
      <c r="DU957" s="84"/>
      <c r="DY957" s="84"/>
      <c r="EC957" s="84"/>
      <c r="EG957" s="84"/>
      <c r="EK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128"/>
      <c r="AA958" s="129"/>
      <c r="AC958" s="130"/>
      <c r="AD958" s="128"/>
      <c r="AE958" s="129"/>
      <c r="AG958" s="130"/>
      <c r="AH958" s="128"/>
      <c r="AI958" s="129"/>
      <c r="AK958" s="130"/>
      <c r="AL958" s="128"/>
      <c r="AM958" s="129"/>
      <c r="AO958" s="130"/>
      <c r="AP958" s="128"/>
      <c r="AQ958" s="129"/>
      <c r="AS958" s="130"/>
      <c r="AT958" s="128"/>
      <c r="AU958" s="129"/>
      <c r="AW958" s="130"/>
      <c r="AX958" s="85"/>
      <c r="AY958" s="84"/>
      <c r="AZ958" s="84"/>
      <c r="BA958" s="131"/>
      <c r="BB958" s="84"/>
      <c r="BE958" s="84"/>
      <c r="BI958" s="86"/>
      <c r="BO958" s="84"/>
      <c r="BT958" s="84"/>
      <c r="BY958" s="84"/>
      <c r="CD958" s="84"/>
      <c r="CI958" s="128"/>
      <c r="CJ958" s="129"/>
      <c r="CL958" s="132"/>
      <c r="CM958" s="128"/>
      <c r="CN958" s="129"/>
      <c r="CP958" s="132"/>
      <c r="CQ958" s="128"/>
      <c r="CR958" s="129"/>
      <c r="CT958" s="132"/>
      <c r="CU958" s="128"/>
      <c r="CV958" s="129"/>
      <c r="CX958" s="132"/>
      <c r="CY958" s="128"/>
      <c r="CZ958" s="129"/>
      <c r="DB958" s="132"/>
      <c r="DC958" s="128"/>
      <c r="DD958" s="129"/>
      <c r="DF958" s="132"/>
      <c r="DG958" s="85"/>
      <c r="DH958" s="85"/>
      <c r="DI958" s="84"/>
      <c r="DK958" s="84"/>
      <c r="DP958" s="84"/>
      <c r="DU958" s="84"/>
      <c r="DY958" s="84"/>
      <c r="EC958" s="84"/>
      <c r="EG958" s="84"/>
      <c r="EK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128"/>
      <c r="AA959" s="129"/>
      <c r="AC959" s="130"/>
      <c r="AD959" s="128"/>
      <c r="AE959" s="129"/>
      <c r="AG959" s="130"/>
      <c r="AH959" s="128"/>
      <c r="AI959" s="129"/>
      <c r="AK959" s="130"/>
      <c r="AL959" s="128"/>
      <c r="AM959" s="129"/>
      <c r="AO959" s="130"/>
      <c r="AP959" s="128"/>
      <c r="AQ959" s="129"/>
      <c r="AS959" s="130"/>
      <c r="AT959" s="128"/>
      <c r="AU959" s="129"/>
      <c r="AW959" s="130"/>
      <c r="AX959" s="85"/>
      <c r="AY959" s="84"/>
      <c r="AZ959" s="84"/>
      <c r="BA959" s="131"/>
      <c r="BB959" s="84"/>
      <c r="BE959" s="84"/>
      <c r="BI959" s="86"/>
      <c r="BO959" s="84"/>
      <c r="BT959" s="84"/>
      <c r="BY959" s="84"/>
      <c r="CD959" s="84"/>
      <c r="CI959" s="128"/>
      <c r="CJ959" s="129"/>
      <c r="CL959" s="132"/>
      <c r="CM959" s="128"/>
      <c r="CN959" s="129"/>
      <c r="CP959" s="132"/>
      <c r="CQ959" s="128"/>
      <c r="CR959" s="129"/>
      <c r="CT959" s="132"/>
      <c r="CU959" s="128"/>
      <c r="CV959" s="129"/>
      <c r="CX959" s="132"/>
      <c r="CY959" s="128"/>
      <c r="CZ959" s="129"/>
      <c r="DB959" s="132"/>
      <c r="DC959" s="128"/>
      <c r="DD959" s="129"/>
      <c r="DF959" s="132"/>
      <c r="DG959" s="85"/>
      <c r="DH959" s="85"/>
      <c r="DI959" s="84"/>
      <c r="DK959" s="84"/>
      <c r="DP959" s="84"/>
      <c r="DU959" s="84"/>
      <c r="DY959" s="84"/>
      <c r="EC959" s="84"/>
      <c r="EG959" s="84"/>
      <c r="EK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128"/>
      <c r="AA960" s="129"/>
      <c r="AC960" s="130"/>
      <c r="AD960" s="128"/>
      <c r="AE960" s="129"/>
      <c r="AG960" s="130"/>
      <c r="AH960" s="128"/>
      <c r="AI960" s="129"/>
      <c r="AK960" s="130"/>
      <c r="AL960" s="128"/>
      <c r="AM960" s="129"/>
      <c r="AO960" s="130"/>
      <c r="AP960" s="128"/>
      <c r="AQ960" s="129"/>
      <c r="AS960" s="130"/>
      <c r="AT960" s="128"/>
      <c r="AU960" s="129"/>
      <c r="AW960" s="130"/>
      <c r="AX960" s="85"/>
      <c r="AY960" s="84"/>
      <c r="AZ960" s="84"/>
      <c r="BA960" s="131"/>
      <c r="BB960" s="84"/>
      <c r="BE960" s="84"/>
      <c r="BI960" s="86"/>
      <c r="BO960" s="84"/>
      <c r="BT960" s="84"/>
      <c r="BY960" s="84"/>
      <c r="CD960" s="84"/>
      <c r="CI960" s="128"/>
      <c r="CJ960" s="129"/>
      <c r="CL960" s="132"/>
      <c r="CM960" s="128"/>
      <c r="CN960" s="129"/>
      <c r="CP960" s="132"/>
      <c r="CQ960" s="128"/>
      <c r="CR960" s="129"/>
      <c r="CT960" s="132"/>
      <c r="CU960" s="128"/>
      <c r="CV960" s="129"/>
      <c r="CX960" s="132"/>
      <c r="CY960" s="128"/>
      <c r="CZ960" s="129"/>
      <c r="DB960" s="132"/>
      <c r="DC960" s="128"/>
      <c r="DD960" s="129"/>
      <c r="DF960" s="132"/>
      <c r="DG960" s="85"/>
      <c r="DH960" s="85"/>
      <c r="DI960" s="84"/>
      <c r="DK960" s="84"/>
      <c r="DP960" s="84"/>
      <c r="DU960" s="84"/>
      <c r="DY960" s="84"/>
      <c r="EC960" s="84"/>
      <c r="EG960" s="84"/>
      <c r="EK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128"/>
      <c r="AA961" s="129"/>
      <c r="AC961" s="130"/>
      <c r="AD961" s="128"/>
      <c r="AE961" s="129"/>
      <c r="AG961" s="130"/>
      <c r="AH961" s="128"/>
      <c r="AI961" s="129"/>
      <c r="AK961" s="130"/>
      <c r="AL961" s="128"/>
      <c r="AM961" s="129"/>
      <c r="AO961" s="130"/>
      <c r="AP961" s="128"/>
      <c r="AQ961" s="129"/>
      <c r="AS961" s="130"/>
      <c r="AT961" s="128"/>
      <c r="AU961" s="129"/>
      <c r="AW961" s="130"/>
      <c r="AX961" s="85"/>
      <c r="AY961" s="84"/>
      <c r="AZ961" s="84"/>
      <c r="BA961" s="131"/>
      <c r="BB961" s="84"/>
      <c r="BE961" s="84"/>
      <c r="BI961" s="86"/>
      <c r="BO961" s="84"/>
      <c r="BT961" s="84"/>
      <c r="BY961" s="84"/>
      <c r="CD961" s="84"/>
      <c r="CI961" s="128"/>
      <c r="CJ961" s="129"/>
      <c r="CL961" s="132"/>
      <c r="CM961" s="128"/>
      <c r="CN961" s="129"/>
      <c r="CP961" s="132"/>
      <c r="CQ961" s="128"/>
      <c r="CR961" s="129"/>
      <c r="CT961" s="132"/>
      <c r="CU961" s="128"/>
      <c r="CV961" s="129"/>
      <c r="CX961" s="132"/>
      <c r="CY961" s="128"/>
      <c r="CZ961" s="129"/>
      <c r="DB961" s="132"/>
      <c r="DC961" s="128"/>
      <c r="DD961" s="129"/>
      <c r="DF961" s="132"/>
      <c r="DG961" s="85"/>
      <c r="DH961" s="85"/>
      <c r="DI961" s="84"/>
      <c r="DK961" s="84"/>
      <c r="DP961" s="84"/>
      <c r="DU961" s="84"/>
      <c r="DY961" s="84"/>
      <c r="EC961" s="84"/>
      <c r="EG961" s="84"/>
      <c r="EK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128"/>
      <c r="AA962" s="129"/>
      <c r="AC962" s="130"/>
      <c r="AD962" s="128"/>
      <c r="AE962" s="129"/>
      <c r="AG962" s="130"/>
      <c r="AH962" s="128"/>
      <c r="AI962" s="129"/>
      <c r="AK962" s="130"/>
      <c r="AL962" s="128"/>
      <c r="AM962" s="129"/>
      <c r="AO962" s="130"/>
      <c r="AP962" s="128"/>
      <c r="AQ962" s="129"/>
      <c r="AS962" s="130"/>
      <c r="AT962" s="128"/>
      <c r="AU962" s="129"/>
      <c r="AW962" s="130"/>
      <c r="AX962" s="85"/>
      <c r="AY962" s="84"/>
      <c r="AZ962" s="84"/>
      <c r="BA962" s="131"/>
      <c r="BB962" s="84"/>
      <c r="BE962" s="84"/>
      <c r="BI962" s="86"/>
      <c r="BO962" s="84"/>
      <c r="BT962" s="84"/>
      <c r="BY962" s="84"/>
      <c r="CD962" s="84"/>
      <c r="CI962" s="128"/>
      <c r="CJ962" s="129"/>
      <c r="CL962" s="132"/>
      <c r="CM962" s="128"/>
      <c r="CN962" s="129"/>
      <c r="CP962" s="132"/>
      <c r="CQ962" s="128"/>
      <c r="CR962" s="129"/>
      <c r="CT962" s="132"/>
      <c r="CU962" s="128"/>
      <c r="CV962" s="129"/>
      <c r="CX962" s="132"/>
      <c r="CY962" s="128"/>
      <c r="CZ962" s="129"/>
      <c r="DB962" s="132"/>
      <c r="DC962" s="128"/>
      <c r="DD962" s="129"/>
      <c r="DF962" s="132"/>
      <c r="DG962" s="85"/>
      <c r="DH962" s="85"/>
      <c r="DI962" s="84"/>
      <c r="DK962" s="84"/>
      <c r="DP962" s="84"/>
      <c r="DU962" s="84"/>
      <c r="DY962" s="84"/>
      <c r="EC962" s="84"/>
      <c r="EG962" s="84"/>
      <c r="EK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128"/>
      <c r="AA963" s="129"/>
      <c r="AC963" s="130"/>
      <c r="AD963" s="128"/>
      <c r="AE963" s="129"/>
      <c r="AG963" s="130"/>
      <c r="AH963" s="128"/>
      <c r="AI963" s="129"/>
      <c r="AK963" s="130"/>
      <c r="AL963" s="128"/>
      <c r="AM963" s="129"/>
      <c r="AO963" s="130"/>
      <c r="AP963" s="128"/>
      <c r="AQ963" s="129"/>
      <c r="AS963" s="130"/>
      <c r="AT963" s="128"/>
      <c r="AU963" s="129"/>
      <c r="AW963" s="130"/>
      <c r="AX963" s="85"/>
      <c r="AY963" s="84"/>
      <c r="AZ963" s="84"/>
      <c r="BA963" s="131"/>
      <c r="BB963" s="84"/>
      <c r="BE963" s="84"/>
      <c r="BI963" s="86"/>
      <c r="BO963" s="84"/>
      <c r="BT963" s="84"/>
      <c r="BY963" s="84"/>
      <c r="CD963" s="84"/>
      <c r="CI963" s="128"/>
      <c r="CJ963" s="129"/>
      <c r="CL963" s="132"/>
      <c r="CM963" s="128"/>
      <c r="CN963" s="129"/>
      <c r="CP963" s="132"/>
      <c r="CQ963" s="128"/>
      <c r="CR963" s="129"/>
      <c r="CT963" s="132"/>
      <c r="CU963" s="128"/>
      <c r="CV963" s="129"/>
      <c r="CX963" s="132"/>
      <c r="CY963" s="128"/>
      <c r="CZ963" s="129"/>
      <c r="DB963" s="132"/>
      <c r="DC963" s="128"/>
      <c r="DD963" s="129"/>
      <c r="DF963" s="132"/>
      <c r="DG963" s="85"/>
      <c r="DH963" s="85"/>
      <c r="DI963" s="84"/>
      <c r="DK963" s="84"/>
      <c r="DP963" s="84"/>
      <c r="DU963" s="84"/>
      <c r="DY963" s="84"/>
      <c r="EC963" s="84"/>
      <c r="EG963" s="84"/>
      <c r="EK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128"/>
      <c r="AA964" s="129"/>
      <c r="AC964" s="130"/>
      <c r="AD964" s="128"/>
      <c r="AE964" s="129"/>
      <c r="AG964" s="130"/>
      <c r="AH964" s="128"/>
      <c r="AI964" s="129"/>
      <c r="AK964" s="130"/>
      <c r="AL964" s="128"/>
      <c r="AM964" s="129"/>
      <c r="AO964" s="130"/>
      <c r="AP964" s="128"/>
      <c r="AQ964" s="129"/>
      <c r="AS964" s="130"/>
      <c r="AT964" s="128"/>
      <c r="AU964" s="129"/>
      <c r="AW964" s="130"/>
      <c r="AX964" s="85"/>
      <c r="AY964" s="84"/>
      <c r="AZ964" s="84"/>
      <c r="BA964" s="131"/>
      <c r="BB964" s="84"/>
      <c r="BE964" s="84"/>
      <c r="BI964" s="86"/>
      <c r="BO964" s="84"/>
      <c r="BT964" s="84"/>
      <c r="BY964" s="84"/>
      <c r="CD964" s="84"/>
      <c r="CI964" s="128"/>
      <c r="CJ964" s="129"/>
      <c r="CL964" s="132"/>
      <c r="CM964" s="128"/>
      <c r="CN964" s="129"/>
      <c r="CP964" s="132"/>
      <c r="CQ964" s="128"/>
      <c r="CR964" s="129"/>
      <c r="CT964" s="132"/>
      <c r="CU964" s="128"/>
      <c r="CV964" s="129"/>
      <c r="CX964" s="132"/>
      <c r="CY964" s="128"/>
      <c r="CZ964" s="129"/>
      <c r="DB964" s="132"/>
      <c r="DC964" s="128"/>
      <c r="DD964" s="129"/>
      <c r="DF964" s="132"/>
      <c r="DG964" s="85"/>
      <c r="DH964" s="85"/>
      <c r="DI964" s="84"/>
      <c r="DK964" s="84"/>
      <c r="DP964" s="84"/>
      <c r="DU964" s="84"/>
      <c r="DY964" s="84"/>
      <c r="EC964" s="84"/>
      <c r="EG964" s="84"/>
      <c r="EK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128"/>
      <c r="AA965" s="129"/>
      <c r="AC965" s="130"/>
      <c r="AD965" s="128"/>
      <c r="AE965" s="129"/>
      <c r="AG965" s="130"/>
      <c r="AH965" s="128"/>
      <c r="AI965" s="129"/>
      <c r="AK965" s="130"/>
      <c r="AL965" s="128"/>
      <c r="AM965" s="129"/>
      <c r="AO965" s="130"/>
      <c r="AP965" s="128"/>
      <c r="AQ965" s="129"/>
      <c r="AS965" s="130"/>
      <c r="AT965" s="128"/>
      <c r="AU965" s="129"/>
      <c r="AW965" s="130"/>
      <c r="AX965" s="85"/>
      <c r="AY965" s="84"/>
      <c r="AZ965" s="84"/>
      <c r="BA965" s="131"/>
      <c r="BB965" s="84"/>
      <c r="BE965" s="84"/>
      <c r="BI965" s="86"/>
      <c r="BO965" s="84"/>
      <c r="BT965" s="84"/>
      <c r="BY965" s="84"/>
      <c r="CD965" s="84"/>
      <c r="CI965" s="128"/>
      <c r="CJ965" s="129"/>
      <c r="CL965" s="132"/>
      <c r="CM965" s="128"/>
      <c r="CN965" s="129"/>
      <c r="CP965" s="132"/>
      <c r="CQ965" s="128"/>
      <c r="CR965" s="129"/>
      <c r="CT965" s="132"/>
      <c r="CU965" s="128"/>
      <c r="CV965" s="129"/>
      <c r="CX965" s="132"/>
      <c r="CY965" s="128"/>
      <c r="CZ965" s="129"/>
      <c r="DB965" s="132"/>
      <c r="DC965" s="128"/>
      <c r="DD965" s="129"/>
      <c r="DF965" s="132"/>
      <c r="DG965" s="85"/>
      <c r="DH965" s="85"/>
      <c r="DI965" s="84"/>
      <c r="DK965" s="84"/>
      <c r="DP965" s="84"/>
      <c r="DU965" s="84"/>
      <c r="DY965" s="84"/>
      <c r="EC965" s="84"/>
      <c r="EG965" s="84"/>
      <c r="EK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128"/>
      <c r="AA966" s="129"/>
      <c r="AC966" s="130"/>
      <c r="AD966" s="128"/>
      <c r="AE966" s="129"/>
      <c r="AG966" s="130"/>
      <c r="AH966" s="128"/>
      <c r="AI966" s="129"/>
      <c r="AK966" s="130"/>
      <c r="AL966" s="128"/>
      <c r="AM966" s="129"/>
      <c r="AO966" s="130"/>
      <c r="AP966" s="128"/>
      <c r="AQ966" s="129"/>
      <c r="AS966" s="130"/>
      <c r="AT966" s="128"/>
      <c r="AU966" s="129"/>
      <c r="AW966" s="130"/>
      <c r="AX966" s="85"/>
      <c r="AY966" s="84"/>
      <c r="AZ966" s="84"/>
      <c r="BA966" s="131"/>
      <c r="BB966" s="84"/>
      <c r="BE966" s="84"/>
      <c r="BI966" s="86"/>
      <c r="BO966" s="84"/>
      <c r="BT966" s="84"/>
      <c r="BY966" s="84"/>
      <c r="CD966" s="84"/>
      <c r="CI966" s="128"/>
      <c r="CJ966" s="129"/>
      <c r="CL966" s="132"/>
      <c r="CM966" s="128"/>
      <c r="CN966" s="129"/>
      <c r="CP966" s="132"/>
      <c r="CQ966" s="128"/>
      <c r="CR966" s="129"/>
      <c r="CT966" s="132"/>
      <c r="CU966" s="128"/>
      <c r="CV966" s="129"/>
      <c r="CX966" s="132"/>
      <c r="CY966" s="128"/>
      <c r="CZ966" s="129"/>
      <c r="DB966" s="132"/>
      <c r="DC966" s="128"/>
      <c r="DD966" s="129"/>
      <c r="DF966" s="132"/>
      <c r="DG966" s="85"/>
      <c r="DH966" s="85"/>
      <c r="DI966" s="84"/>
      <c r="DK966" s="84"/>
      <c r="DP966" s="84"/>
      <c r="DU966" s="84"/>
      <c r="DY966" s="84"/>
      <c r="EC966" s="84"/>
      <c r="EG966" s="84"/>
      <c r="EK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128"/>
      <c r="AA967" s="129"/>
      <c r="AC967" s="130"/>
      <c r="AD967" s="128"/>
      <c r="AE967" s="129"/>
      <c r="AG967" s="130"/>
      <c r="AH967" s="128"/>
      <c r="AI967" s="129"/>
      <c r="AK967" s="130"/>
      <c r="AL967" s="128"/>
      <c r="AM967" s="129"/>
      <c r="AO967" s="130"/>
      <c r="AP967" s="128"/>
      <c r="AQ967" s="129"/>
      <c r="AS967" s="130"/>
      <c r="AT967" s="128"/>
      <c r="AU967" s="129"/>
      <c r="AW967" s="130"/>
      <c r="AX967" s="85"/>
      <c r="AY967" s="84"/>
      <c r="AZ967" s="84"/>
      <c r="BA967" s="131"/>
      <c r="BB967" s="84"/>
      <c r="BE967" s="84"/>
      <c r="BI967" s="86"/>
      <c r="BO967" s="84"/>
      <c r="BT967" s="84"/>
      <c r="BY967" s="84"/>
      <c r="CD967" s="84"/>
      <c r="CI967" s="128"/>
      <c r="CJ967" s="129"/>
      <c r="CL967" s="132"/>
      <c r="CM967" s="128"/>
      <c r="CN967" s="129"/>
      <c r="CP967" s="132"/>
      <c r="CQ967" s="128"/>
      <c r="CR967" s="129"/>
      <c r="CT967" s="132"/>
      <c r="CU967" s="128"/>
      <c r="CV967" s="129"/>
      <c r="CX967" s="132"/>
      <c r="CY967" s="128"/>
      <c r="CZ967" s="129"/>
      <c r="DB967" s="132"/>
      <c r="DC967" s="128"/>
      <c r="DD967" s="129"/>
      <c r="DF967" s="132"/>
      <c r="DG967" s="85"/>
      <c r="DH967" s="85"/>
      <c r="DI967" s="84"/>
      <c r="DK967" s="84"/>
      <c r="DP967" s="84"/>
      <c r="DU967" s="84"/>
      <c r="DY967" s="84"/>
      <c r="EC967" s="84"/>
      <c r="EG967" s="84"/>
      <c r="EK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128"/>
      <c r="AA968" s="129"/>
      <c r="AC968" s="130"/>
      <c r="AD968" s="128"/>
      <c r="AE968" s="129"/>
      <c r="AG968" s="130"/>
      <c r="AH968" s="128"/>
      <c r="AI968" s="129"/>
      <c r="AK968" s="130"/>
      <c r="AL968" s="128"/>
      <c r="AM968" s="129"/>
      <c r="AO968" s="130"/>
      <c r="AP968" s="128"/>
      <c r="AQ968" s="129"/>
      <c r="AS968" s="130"/>
      <c r="AT968" s="128"/>
      <c r="AU968" s="129"/>
      <c r="AW968" s="130"/>
      <c r="AX968" s="85"/>
      <c r="AY968" s="84"/>
      <c r="AZ968" s="84"/>
      <c r="BA968" s="131"/>
      <c r="BB968" s="84"/>
      <c r="BE968" s="84"/>
      <c r="BI968" s="86"/>
      <c r="BO968" s="84"/>
      <c r="BT968" s="84"/>
      <c r="BY968" s="84"/>
      <c r="CD968" s="84"/>
      <c r="CI968" s="128"/>
      <c r="CJ968" s="129"/>
      <c r="CL968" s="132"/>
      <c r="CM968" s="128"/>
      <c r="CN968" s="129"/>
      <c r="CP968" s="132"/>
      <c r="CQ968" s="128"/>
      <c r="CR968" s="129"/>
      <c r="CT968" s="132"/>
      <c r="CU968" s="128"/>
      <c r="CV968" s="129"/>
      <c r="CX968" s="132"/>
      <c r="CY968" s="128"/>
      <c r="CZ968" s="129"/>
      <c r="DB968" s="132"/>
      <c r="DC968" s="128"/>
      <c r="DD968" s="129"/>
      <c r="DF968" s="132"/>
      <c r="DG968" s="85"/>
      <c r="DH968" s="85"/>
      <c r="DI968" s="84"/>
      <c r="DK968" s="84"/>
      <c r="DP968" s="84"/>
      <c r="DU968" s="84"/>
      <c r="DY968" s="84"/>
      <c r="EC968" s="84"/>
      <c r="EG968" s="84"/>
      <c r="EK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128"/>
      <c r="AA969" s="129"/>
      <c r="AC969" s="130"/>
      <c r="AD969" s="128"/>
      <c r="AE969" s="129"/>
      <c r="AG969" s="130"/>
      <c r="AH969" s="128"/>
      <c r="AI969" s="129"/>
      <c r="AK969" s="130"/>
      <c r="AL969" s="128"/>
      <c r="AM969" s="129"/>
      <c r="AO969" s="130"/>
      <c r="AP969" s="128"/>
      <c r="AQ969" s="129"/>
      <c r="AS969" s="130"/>
      <c r="AT969" s="128"/>
      <c r="AU969" s="129"/>
      <c r="AW969" s="130"/>
      <c r="AX969" s="85"/>
      <c r="AY969" s="84"/>
      <c r="AZ969" s="84"/>
      <c r="BA969" s="131"/>
      <c r="BB969" s="84"/>
      <c r="BE969" s="84"/>
      <c r="BI969" s="86"/>
      <c r="BO969" s="84"/>
      <c r="BT969" s="84"/>
      <c r="BY969" s="84"/>
      <c r="CD969" s="84"/>
      <c r="CI969" s="128"/>
      <c r="CJ969" s="129"/>
      <c r="CL969" s="132"/>
      <c r="CM969" s="128"/>
      <c r="CN969" s="129"/>
      <c r="CP969" s="132"/>
      <c r="CQ969" s="128"/>
      <c r="CR969" s="129"/>
      <c r="CT969" s="132"/>
      <c r="CU969" s="128"/>
      <c r="CV969" s="129"/>
      <c r="CX969" s="132"/>
      <c r="CY969" s="128"/>
      <c r="CZ969" s="129"/>
      <c r="DB969" s="132"/>
      <c r="DC969" s="128"/>
      <c r="DD969" s="129"/>
      <c r="DF969" s="132"/>
      <c r="DG969" s="85"/>
      <c r="DH969" s="85"/>
      <c r="DI969" s="84"/>
      <c r="DK969" s="84"/>
      <c r="DP969" s="84"/>
      <c r="DU969" s="84"/>
      <c r="DY969" s="84"/>
      <c r="EC969" s="84"/>
      <c r="EG969" s="84"/>
      <c r="EK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128"/>
      <c r="AA970" s="129"/>
      <c r="AC970" s="130"/>
      <c r="AD970" s="128"/>
      <c r="AE970" s="129"/>
      <c r="AG970" s="130"/>
      <c r="AH970" s="128"/>
      <c r="AI970" s="129"/>
      <c r="AK970" s="130"/>
      <c r="AL970" s="128"/>
      <c r="AM970" s="129"/>
      <c r="AO970" s="130"/>
      <c r="AP970" s="128"/>
      <c r="AQ970" s="129"/>
      <c r="AS970" s="130"/>
      <c r="AT970" s="128"/>
      <c r="AU970" s="129"/>
      <c r="AW970" s="130"/>
      <c r="AX970" s="85"/>
      <c r="AY970" s="84"/>
      <c r="AZ970" s="84"/>
      <c r="BA970" s="131"/>
      <c r="BB970" s="84"/>
      <c r="BE970" s="84"/>
      <c r="BI970" s="86"/>
      <c r="BO970" s="84"/>
      <c r="BT970" s="84"/>
      <c r="BY970" s="84"/>
      <c r="CD970" s="84"/>
      <c r="CI970" s="128"/>
      <c r="CJ970" s="129"/>
      <c r="CL970" s="132"/>
      <c r="CM970" s="128"/>
      <c r="CN970" s="129"/>
      <c r="CP970" s="132"/>
      <c r="CQ970" s="128"/>
      <c r="CR970" s="129"/>
      <c r="CT970" s="132"/>
      <c r="CU970" s="128"/>
      <c r="CV970" s="129"/>
      <c r="CX970" s="132"/>
      <c r="CY970" s="128"/>
      <c r="CZ970" s="129"/>
      <c r="DB970" s="132"/>
      <c r="DC970" s="128"/>
      <c r="DD970" s="129"/>
      <c r="DF970" s="132"/>
      <c r="DG970" s="85"/>
      <c r="DH970" s="85"/>
      <c r="DI970" s="84"/>
      <c r="DK970" s="84"/>
      <c r="DP970" s="84"/>
      <c r="DU970" s="84"/>
      <c r="DY970" s="84"/>
      <c r="EC970" s="84"/>
      <c r="EG970" s="84"/>
      <c r="EK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128"/>
      <c r="AA971" s="129"/>
      <c r="AC971" s="130"/>
      <c r="AD971" s="128"/>
      <c r="AE971" s="129"/>
      <c r="AG971" s="130"/>
      <c r="AH971" s="128"/>
      <c r="AI971" s="129"/>
      <c r="AK971" s="130"/>
      <c r="AL971" s="128"/>
      <c r="AM971" s="129"/>
      <c r="AO971" s="130"/>
      <c r="AP971" s="128"/>
      <c r="AQ971" s="129"/>
      <c r="AS971" s="130"/>
      <c r="AT971" s="128"/>
      <c r="AU971" s="129"/>
      <c r="AW971" s="130"/>
      <c r="AX971" s="85"/>
      <c r="AY971" s="84"/>
      <c r="AZ971" s="84"/>
      <c r="BA971" s="131"/>
      <c r="BB971" s="84"/>
      <c r="BE971" s="84"/>
      <c r="BI971" s="86"/>
      <c r="BO971" s="84"/>
      <c r="BT971" s="84"/>
      <c r="BY971" s="84"/>
      <c r="CD971" s="84"/>
      <c r="CI971" s="128"/>
      <c r="CJ971" s="129"/>
      <c r="CL971" s="132"/>
      <c r="CM971" s="128"/>
      <c r="CN971" s="129"/>
      <c r="CP971" s="132"/>
      <c r="CQ971" s="128"/>
      <c r="CR971" s="129"/>
      <c r="CT971" s="132"/>
      <c r="CU971" s="128"/>
      <c r="CV971" s="129"/>
      <c r="CX971" s="132"/>
      <c r="CY971" s="128"/>
      <c r="CZ971" s="129"/>
      <c r="DB971" s="132"/>
      <c r="DC971" s="128"/>
      <c r="DD971" s="129"/>
      <c r="DF971" s="132"/>
      <c r="DG971" s="85"/>
      <c r="DH971" s="85"/>
      <c r="DI971" s="84"/>
      <c r="DK971" s="84"/>
      <c r="DP971" s="84"/>
      <c r="DU971" s="84"/>
      <c r="DY971" s="84"/>
      <c r="EC971" s="84"/>
      <c r="EG971" s="84"/>
      <c r="EK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128"/>
      <c r="AA972" s="129"/>
      <c r="AC972" s="130"/>
      <c r="AD972" s="128"/>
      <c r="AE972" s="129"/>
      <c r="AG972" s="130"/>
      <c r="AH972" s="128"/>
      <c r="AI972" s="129"/>
      <c r="AK972" s="130"/>
      <c r="AL972" s="128"/>
      <c r="AM972" s="129"/>
      <c r="AO972" s="130"/>
      <c r="AP972" s="128"/>
      <c r="AQ972" s="129"/>
      <c r="AS972" s="130"/>
      <c r="AT972" s="128"/>
      <c r="AU972" s="129"/>
      <c r="AW972" s="130"/>
      <c r="AX972" s="85"/>
      <c r="AY972" s="84"/>
      <c r="AZ972" s="84"/>
      <c r="BA972" s="131"/>
      <c r="BB972" s="84"/>
      <c r="BE972" s="84"/>
      <c r="BI972" s="86"/>
      <c r="BO972" s="84"/>
      <c r="BT972" s="84"/>
      <c r="BY972" s="84"/>
      <c r="CD972" s="84"/>
      <c r="CI972" s="128"/>
      <c r="CJ972" s="129"/>
      <c r="CL972" s="132"/>
      <c r="CM972" s="128"/>
      <c r="CN972" s="129"/>
      <c r="CP972" s="132"/>
      <c r="CQ972" s="128"/>
      <c r="CR972" s="129"/>
      <c r="CT972" s="132"/>
      <c r="CU972" s="128"/>
      <c r="CV972" s="129"/>
      <c r="CX972" s="132"/>
      <c r="CY972" s="128"/>
      <c r="CZ972" s="129"/>
      <c r="DB972" s="132"/>
      <c r="DC972" s="128"/>
      <c r="DD972" s="129"/>
      <c r="DF972" s="132"/>
      <c r="DG972" s="85"/>
      <c r="DH972" s="85"/>
      <c r="DI972" s="84"/>
      <c r="DK972" s="84"/>
      <c r="DP972" s="84"/>
      <c r="DU972" s="84"/>
      <c r="DY972" s="84"/>
      <c r="EC972" s="84"/>
      <c r="EG972" s="84"/>
      <c r="EK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128"/>
      <c r="AA973" s="129"/>
      <c r="AC973" s="130"/>
      <c r="AD973" s="128"/>
      <c r="AE973" s="129"/>
      <c r="AG973" s="130"/>
      <c r="AH973" s="128"/>
      <c r="AI973" s="129"/>
      <c r="AK973" s="130"/>
      <c r="AL973" s="128"/>
      <c r="AM973" s="129"/>
      <c r="AO973" s="130"/>
      <c r="AP973" s="128"/>
      <c r="AQ973" s="129"/>
      <c r="AS973" s="130"/>
      <c r="AT973" s="128"/>
      <c r="AU973" s="129"/>
      <c r="AW973" s="130"/>
      <c r="AX973" s="85"/>
      <c r="AY973" s="84"/>
      <c r="AZ973" s="84"/>
      <c r="BA973" s="131"/>
      <c r="BB973" s="84"/>
      <c r="BE973" s="84"/>
      <c r="BI973" s="86"/>
      <c r="BO973" s="84"/>
      <c r="BT973" s="84"/>
      <c r="BY973" s="84"/>
      <c r="CD973" s="84"/>
      <c r="CI973" s="128"/>
      <c r="CJ973" s="129"/>
      <c r="CL973" s="132"/>
      <c r="CM973" s="128"/>
      <c r="CN973" s="129"/>
      <c r="CP973" s="132"/>
      <c r="CQ973" s="128"/>
      <c r="CR973" s="129"/>
      <c r="CT973" s="132"/>
      <c r="CU973" s="128"/>
      <c r="CV973" s="129"/>
      <c r="CX973" s="132"/>
      <c r="CY973" s="128"/>
      <c r="CZ973" s="129"/>
      <c r="DB973" s="132"/>
      <c r="DC973" s="128"/>
      <c r="DD973" s="129"/>
      <c r="DF973" s="132"/>
      <c r="DG973" s="85"/>
      <c r="DH973" s="85"/>
      <c r="DI973" s="84"/>
      <c r="DK973" s="84"/>
      <c r="DP973" s="84"/>
      <c r="DU973" s="84"/>
      <c r="DY973" s="84"/>
      <c r="EC973" s="84"/>
      <c r="EG973" s="84"/>
      <c r="EK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128"/>
      <c r="AA974" s="129"/>
      <c r="AC974" s="130"/>
      <c r="AD974" s="128"/>
      <c r="AE974" s="129"/>
      <c r="AG974" s="130"/>
      <c r="AH974" s="128"/>
      <c r="AI974" s="129"/>
      <c r="AK974" s="130"/>
      <c r="AL974" s="128"/>
      <c r="AM974" s="129"/>
      <c r="AO974" s="130"/>
      <c r="AP974" s="128"/>
      <c r="AQ974" s="129"/>
      <c r="AS974" s="130"/>
      <c r="AT974" s="128"/>
      <c r="AU974" s="129"/>
      <c r="AW974" s="130"/>
      <c r="AX974" s="85"/>
      <c r="AY974" s="84"/>
      <c r="AZ974" s="84"/>
      <c r="BA974" s="131"/>
      <c r="BB974" s="84"/>
      <c r="BE974" s="84"/>
      <c r="BI974" s="86"/>
      <c r="BO974" s="84"/>
      <c r="BT974" s="84"/>
      <c r="BY974" s="84"/>
      <c r="CD974" s="84"/>
      <c r="CI974" s="128"/>
      <c r="CJ974" s="129"/>
      <c r="CL974" s="132"/>
      <c r="CM974" s="128"/>
      <c r="CN974" s="129"/>
      <c r="CP974" s="132"/>
      <c r="CQ974" s="128"/>
      <c r="CR974" s="129"/>
      <c r="CT974" s="132"/>
      <c r="CU974" s="128"/>
      <c r="CV974" s="129"/>
      <c r="CX974" s="132"/>
      <c r="CY974" s="128"/>
      <c r="CZ974" s="129"/>
      <c r="DB974" s="132"/>
      <c r="DC974" s="128"/>
      <c r="DD974" s="129"/>
      <c r="DF974" s="132"/>
      <c r="DG974" s="85"/>
      <c r="DH974" s="85"/>
      <c r="DI974" s="84"/>
      <c r="DK974" s="84"/>
      <c r="DP974" s="84"/>
      <c r="DU974" s="84"/>
      <c r="DY974" s="84"/>
      <c r="EC974" s="84"/>
      <c r="EG974" s="84"/>
      <c r="EK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128"/>
      <c r="AA975" s="129"/>
      <c r="AC975" s="130"/>
      <c r="AD975" s="128"/>
      <c r="AE975" s="129"/>
      <c r="AG975" s="130"/>
      <c r="AH975" s="128"/>
      <c r="AI975" s="129"/>
      <c r="AK975" s="130"/>
      <c r="AL975" s="128"/>
      <c r="AM975" s="129"/>
      <c r="AO975" s="130"/>
      <c r="AP975" s="128"/>
      <c r="AQ975" s="129"/>
      <c r="AS975" s="130"/>
      <c r="AT975" s="128"/>
      <c r="AU975" s="129"/>
      <c r="AW975" s="130"/>
      <c r="AX975" s="85"/>
      <c r="AY975" s="84"/>
      <c r="AZ975" s="84"/>
      <c r="BA975" s="131"/>
      <c r="BB975" s="84"/>
      <c r="BE975" s="84"/>
      <c r="BI975" s="86"/>
      <c r="BO975" s="84"/>
      <c r="BT975" s="84"/>
      <c r="BY975" s="84"/>
      <c r="CD975" s="84"/>
      <c r="CI975" s="128"/>
      <c r="CJ975" s="129"/>
      <c r="CL975" s="132"/>
      <c r="CM975" s="128"/>
      <c r="CN975" s="129"/>
      <c r="CP975" s="132"/>
      <c r="CQ975" s="128"/>
      <c r="CR975" s="129"/>
      <c r="CT975" s="132"/>
      <c r="CU975" s="128"/>
      <c r="CV975" s="129"/>
      <c r="CX975" s="132"/>
      <c r="CY975" s="128"/>
      <c r="CZ975" s="129"/>
      <c r="DB975" s="132"/>
      <c r="DC975" s="128"/>
      <c r="DD975" s="129"/>
      <c r="DF975" s="132"/>
      <c r="DG975" s="85"/>
      <c r="DH975" s="85"/>
      <c r="DI975" s="84"/>
      <c r="DK975" s="84"/>
      <c r="DP975" s="84"/>
      <c r="DU975" s="84"/>
      <c r="DY975" s="84"/>
      <c r="EC975" s="84"/>
      <c r="EG975" s="84"/>
      <c r="EK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128"/>
      <c r="AA976" s="129"/>
      <c r="AC976" s="130"/>
      <c r="AD976" s="128"/>
      <c r="AE976" s="129"/>
      <c r="AG976" s="130"/>
      <c r="AH976" s="128"/>
      <c r="AI976" s="129"/>
      <c r="AK976" s="130"/>
      <c r="AL976" s="128"/>
      <c r="AM976" s="129"/>
      <c r="AO976" s="130"/>
      <c r="AP976" s="128"/>
      <c r="AQ976" s="129"/>
      <c r="AS976" s="130"/>
      <c r="AT976" s="128"/>
      <c r="AU976" s="129"/>
      <c r="AW976" s="130"/>
      <c r="AX976" s="85"/>
      <c r="AY976" s="84"/>
      <c r="AZ976" s="84"/>
      <c r="BA976" s="131"/>
      <c r="BB976" s="84"/>
      <c r="BE976" s="84"/>
      <c r="BI976" s="86"/>
      <c r="BO976" s="84"/>
      <c r="BT976" s="84"/>
      <c r="BY976" s="84"/>
      <c r="CD976" s="84"/>
      <c r="CI976" s="128"/>
      <c r="CJ976" s="129"/>
      <c r="CL976" s="132"/>
      <c r="CM976" s="128"/>
      <c r="CN976" s="129"/>
      <c r="CP976" s="132"/>
      <c r="CQ976" s="128"/>
      <c r="CR976" s="129"/>
      <c r="CT976" s="132"/>
      <c r="CU976" s="128"/>
      <c r="CV976" s="129"/>
      <c r="CX976" s="132"/>
      <c r="CY976" s="128"/>
      <c r="CZ976" s="129"/>
      <c r="DB976" s="132"/>
      <c r="DC976" s="128"/>
      <c r="DD976" s="129"/>
      <c r="DF976" s="132"/>
      <c r="DG976" s="85"/>
      <c r="DH976" s="85"/>
      <c r="DI976" s="84"/>
      <c r="DK976" s="84"/>
      <c r="DP976" s="84"/>
      <c r="DU976" s="84"/>
      <c r="DY976" s="84"/>
      <c r="EC976" s="84"/>
      <c r="EG976" s="84"/>
      <c r="EK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128"/>
      <c r="AA977" s="129"/>
      <c r="AC977" s="130"/>
      <c r="AD977" s="128"/>
      <c r="AE977" s="129"/>
      <c r="AG977" s="130"/>
      <c r="AH977" s="128"/>
      <c r="AI977" s="129"/>
      <c r="AK977" s="130"/>
      <c r="AL977" s="128"/>
      <c r="AM977" s="129"/>
      <c r="AO977" s="130"/>
      <c r="AP977" s="128"/>
      <c r="AQ977" s="129"/>
      <c r="AS977" s="130"/>
      <c r="AT977" s="128"/>
      <c r="AU977" s="129"/>
      <c r="AW977" s="130"/>
      <c r="AX977" s="85"/>
      <c r="AY977" s="84"/>
      <c r="AZ977" s="84"/>
      <c r="BA977" s="131"/>
      <c r="BB977" s="84"/>
      <c r="BE977" s="84"/>
      <c r="BI977" s="86"/>
      <c r="BO977" s="84"/>
      <c r="BT977" s="84"/>
      <c r="BY977" s="84"/>
      <c r="CD977" s="84"/>
      <c r="CI977" s="128"/>
      <c r="CJ977" s="129"/>
      <c r="CL977" s="132"/>
      <c r="CM977" s="128"/>
      <c r="CN977" s="129"/>
      <c r="CP977" s="132"/>
      <c r="CQ977" s="128"/>
      <c r="CR977" s="129"/>
      <c r="CT977" s="132"/>
      <c r="CU977" s="128"/>
      <c r="CV977" s="129"/>
      <c r="CX977" s="132"/>
      <c r="CY977" s="128"/>
      <c r="CZ977" s="129"/>
      <c r="DB977" s="132"/>
      <c r="DC977" s="128"/>
      <c r="DD977" s="129"/>
      <c r="DF977" s="132"/>
      <c r="DG977" s="85"/>
      <c r="DH977" s="85"/>
      <c r="DI977" s="84"/>
      <c r="DK977" s="84"/>
      <c r="DP977" s="84"/>
      <c r="DU977" s="84"/>
      <c r="DY977" s="84"/>
      <c r="EC977" s="84"/>
      <c r="EG977" s="84"/>
      <c r="EK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128"/>
      <c r="AA978" s="129"/>
      <c r="AC978" s="130"/>
      <c r="AD978" s="128"/>
      <c r="AE978" s="129"/>
      <c r="AG978" s="130"/>
      <c r="AH978" s="128"/>
      <c r="AI978" s="129"/>
      <c r="AK978" s="130"/>
      <c r="AL978" s="128"/>
      <c r="AM978" s="129"/>
      <c r="AO978" s="130"/>
      <c r="AP978" s="128"/>
      <c r="AQ978" s="129"/>
      <c r="AS978" s="130"/>
      <c r="AT978" s="128"/>
      <c r="AU978" s="129"/>
      <c r="AW978" s="130"/>
      <c r="AX978" s="85"/>
      <c r="AY978" s="84"/>
      <c r="AZ978" s="84"/>
      <c r="BA978" s="131"/>
      <c r="BB978" s="84"/>
      <c r="BE978" s="84"/>
      <c r="BI978" s="86"/>
      <c r="BO978" s="84"/>
      <c r="BT978" s="84"/>
      <c r="BY978" s="84"/>
      <c r="CD978" s="84"/>
      <c r="CI978" s="128"/>
      <c r="CJ978" s="129"/>
      <c r="CL978" s="132"/>
      <c r="CM978" s="128"/>
      <c r="CN978" s="129"/>
      <c r="CP978" s="132"/>
      <c r="CQ978" s="128"/>
      <c r="CR978" s="129"/>
      <c r="CT978" s="132"/>
      <c r="CU978" s="128"/>
      <c r="CV978" s="129"/>
      <c r="CX978" s="132"/>
      <c r="CY978" s="128"/>
      <c r="CZ978" s="129"/>
      <c r="DB978" s="132"/>
      <c r="DC978" s="128"/>
      <c r="DD978" s="129"/>
      <c r="DF978" s="132"/>
      <c r="DG978" s="85"/>
      <c r="DH978" s="85"/>
      <c r="DI978" s="84"/>
      <c r="DK978" s="84"/>
      <c r="DP978" s="84"/>
      <c r="DU978" s="84"/>
      <c r="DY978" s="84"/>
      <c r="EC978" s="84"/>
      <c r="EG978" s="84"/>
      <c r="EK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128"/>
      <c r="AA979" s="129"/>
      <c r="AC979" s="130"/>
      <c r="AD979" s="128"/>
      <c r="AE979" s="129"/>
      <c r="AG979" s="130"/>
      <c r="AH979" s="128"/>
      <c r="AI979" s="129"/>
      <c r="AK979" s="130"/>
      <c r="AL979" s="128"/>
      <c r="AM979" s="129"/>
      <c r="AO979" s="130"/>
      <c r="AP979" s="128"/>
      <c r="AQ979" s="129"/>
      <c r="AS979" s="130"/>
      <c r="AT979" s="128"/>
      <c r="AU979" s="129"/>
      <c r="AW979" s="130"/>
      <c r="AX979" s="85"/>
      <c r="AY979" s="84"/>
      <c r="AZ979" s="84"/>
      <c r="BA979" s="131"/>
      <c r="BB979" s="84"/>
      <c r="BE979" s="84"/>
      <c r="BI979" s="86"/>
      <c r="BO979" s="84"/>
      <c r="BT979" s="84"/>
      <c r="BY979" s="84"/>
      <c r="CD979" s="84"/>
      <c r="CI979" s="128"/>
      <c r="CJ979" s="129"/>
      <c r="CL979" s="132"/>
      <c r="CM979" s="128"/>
      <c r="CN979" s="129"/>
      <c r="CP979" s="132"/>
      <c r="CQ979" s="128"/>
      <c r="CR979" s="129"/>
      <c r="CT979" s="132"/>
      <c r="CU979" s="128"/>
      <c r="CV979" s="129"/>
      <c r="CX979" s="132"/>
      <c r="CY979" s="128"/>
      <c r="CZ979" s="129"/>
      <c r="DB979" s="132"/>
      <c r="DC979" s="128"/>
      <c r="DD979" s="129"/>
      <c r="DF979" s="132"/>
      <c r="DG979" s="85"/>
      <c r="DH979" s="85"/>
      <c r="DI979" s="84"/>
      <c r="DK979" s="84"/>
      <c r="DP979" s="84"/>
      <c r="DU979" s="84"/>
      <c r="DY979" s="84"/>
      <c r="EC979" s="84"/>
      <c r="EG979" s="84"/>
      <c r="EK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128"/>
      <c r="AA980" s="129"/>
      <c r="AC980" s="130"/>
      <c r="AD980" s="128"/>
      <c r="AE980" s="129"/>
      <c r="AG980" s="130"/>
      <c r="AH980" s="128"/>
      <c r="AI980" s="129"/>
      <c r="AK980" s="130"/>
      <c r="AL980" s="128"/>
      <c r="AM980" s="129"/>
      <c r="AO980" s="130"/>
      <c r="AP980" s="128"/>
      <c r="AQ980" s="129"/>
      <c r="AS980" s="130"/>
      <c r="AT980" s="128"/>
      <c r="AU980" s="129"/>
      <c r="AW980" s="130"/>
      <c r="AX980" s="85"/>
      <c r="AY980" s="84"/>
      <c r="AZ980" s="84"/>
      <c r="BA980" s="131"/>
      <c r="BB980" s="84"/>
      <c r="BE980" s="84"/>
      <c r="BI980" s="86"/>
      <c r="BO980" s="84"/>
      <c r="BT980" s="84"/>
      <c r="BY980" s="84"/>
      <c r="CD980" s="84"/>
      <c r="CI980" s="128"/>
      <c r="CJ980" s="129"/>
      <c r="CL980" s="132"/>
      <c r="CM980" s="128"/>
      <c r="CN980" s="129"/>
      <c r="CP980" s="132"/>
      <c r="CQ980" s="128"/>
      <c r="CR980" s="129"/>
      <c r="CT980" s="132"/>
      <c r="CU980" s="128"/>
      <c r="CV980" s="129"/>
      <c r="CX980" s="132"/>
      <c r="CY980" s="128"/>
      <c r="CZ980" s="129"/>
      <c r="DB980" s="132"/>
      <c r="DC980" s="128"/>
      <c r="DD980" s="129"/>
      <c r="DF980" s="132"/>
      <c r="DG980" s="85"/>
      <c r="DH980" s="85"/>
      <c r="DI980" s="84"/>
      <c r="DK980" s="84"/>
      <c r="DP980" s="84"/>
      <c r="DU980" s="84"/>
      <c r="DY980" s="84"/>
      <c r="EC980" s="84"/>
      <c r="EG980" s="84"/>
      <c r="EK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128"/>
      <c r="AA981" s="129"/>
      <c r="AC981" s="130"/>
      <c r="AD981" s="128"/>
      <c r="AE981" s="129"/>
      <c r="AG981" s="130"/>
      <c r="AH981" s="128"/>
      <c r="AI981" s="129"/>
      <c r="AK981" s="130"/>
      <c r="AL981" s="128"/>
      <c r="AM981" s="129"/>
      <c r="AO981" s="130"/>
      <c r="AP981" s="128"/>
      <c r="AQ981" s="129"/>
      <c r="AS981" s="130"/>
      <c r="AT981" s="128"/>
      <c r="AU981" s="129"/>
      <c r="AW981" s="130"/>
      <c r="AX981" s="85"/>
      <c r="AY981" s="84"/>
      <c r="AZ981" s="84"/>
      <c r="BA981" s="131"/>
      <c r="BB981" s="84"/>
      <c r="BE981" s="84"/>
      <c r="BI981" s="86"/>
      <c r="BO981" s="84"/>
      <c r="BT981" s="84"/>
      <c r="BY981" s="84"/>
      <c r="CD981" s="84"/>
      <c r="CI981" s="128"/>
      <c r="CJ981" s="129"/>
      <c r="CL981" s="132"/>
      <c r="CM981" s="128"/>
      <c r="CN981" s="129"/>
      <c r="CP981" s="132"/>
      <c r="CQ981" s="128"/>
      <c r="CR981" s="129"/>
      <c r="CT981" s="132"/>
      <c r="CU981" s="128"/>
      <c r="CV981" s="129"/>
      <c r="CX981" s="132"/>
      <c r="CY981" s="128"/>
      <c r="CZ981" s="129"/>
      <c r="DB981" s="132"/>
      <c r="DC981" s="128"/>
      <c r="DD981" s="129"/>
      <c r="DF981" s="132"/>
      <c r="DG981" s="85"/>
      <c r="DH981" s="85"/>
      <c r="DI981" s="84"/>
      <c r="DK981" s="84"/>
      <c r="DP981" s="84"/>
      <c r="DU981" s="84"/>
      <c r="DY981" s="84"/>
      <c r="EC981" s="84"/>
      <c r="EG981" s="84"/>
      <c r="EK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128"/>
      <c r="AA982" s="129"/>
      <c r="AC982" s="130"/>
      <c r="AD982" s="128"/>
      <c r="AE982" s="129"/>
      <c r="AG982" s="130"/>
      <c r="AH982" s="128"/>
      <c r="AI982" s="129"/>
      <c r="AK982" s="130"/>
      <c r="AL982" s="128"/>
      <c r="AM982" s="129"/>
      <c r="AO982" s="130"/>
      <c r="AP982" s="128"/>
      <c r="AQ982" s="129"/>
      <c r="AS982" s="130"/>
      <c r="AT982" s="128"/>
      <c r="AU982" s="129"/>
      <c r="AW982" s="130"/>
      <c r="AX982" s="85"/>
      <c r="AY982" s="84"/>
      <c r="AZ982" s="84"/>
      <c r="BA982" s="131"/>
      <c r="BB982" s="84"/>
      <c r="BE982" s="84"/>
      <c r="BI982" s="86"/>
      <c r="BO982" s="84"/>
      <c r="BT982" s="84"/>
      <c r="BY982" s="84"/>
      <c r="CD982" s="84"/>
      <c r="CI982" s="128"/>
      <c r="CJ982" s="129"/>
      <c r="CL982" s="132"/>
      <c r="CM982" s="128"/>
      <c r="CN982" s="129"/>
      <c r="CP982" s="132"/>
      <c r="CQ982" s="128"/>
      <c r="CR982" s="129"/>
      <c r="CT982" s="132"/>
      <c r="CU982" s="128"/>
      <c r="CV982" s="129"/>
      <c r="CX982" s="132"/>
      <c r="CY982" s="128"/>
      <c r="CZ982" s="129"/>
      <c r="DB982" s="132"/>
      <c r="DC982" s="128"/>
      <c r="DD982" s="129"/>
      <c r="DF982" s="132"/>
      <c r="DG982" s="85"/>
      <c r="DH982" s="85"/>
      <c r="DI982" s="84"/>
      <c r="DK982" s="84"/>
      <c r="DP982" s="84"/>
      <c r="DU982" s="84"/>
      <c r="DY982" s="84"/>
      <c r="EC982" s="84"/>
      <c r="EG982" s="84"/>
      <c r="EK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128"/>
      <c r="AA983" s="129"/>
      <c r="AC983" s="130"/>
      <c r="AD983" s="128"/>
      <c r="AE983" s="129"/>
      <c r="AG983" s="130"/>
      <c r="AH983" s="128"/>
      <c r="AI983" s="129"/>
      <c r="AK983" s="130"/>
      <c r="AL983" s="128"/>
      <c r="AM983" s="129"/>
      <c r="AO983" s="130"/>
      <c r="AP983" s="128"/>
      <c r="AQ983" s="129"/>
      <c r="AS983" s="130"/>
      <c r="AT983" s="128"/>
      <c r="AU983" s="129"/>
      <c r="AW983" s="130"/>
      <c r="AX983" s="85"/>
      <c r="AY983" s="84"/>
      <c r="AZ983" s="84"/>
      <c r="BA983" s="131"/>
      <c r="BB983" s="84"/>
      <c r="BE983" s="84"/>
      <c r="BI983" s="86"/>
      <c r="BO983" s="84"/>
      <c r="BT983" s="84"/>
      <c r="BY983" s="84"/>
      <c r="CD983" s="84"/>
      <c r="CI983" s="128"/>
      <c r="CJ983" s="129"/>
      <c r="CL983" s="132"/>
      <c r="CM983" s="128"/>
      <c r="CN983" s="129"/>
      <c r="CP983" s="132"/>
      <c r="CQ983" s="128"/>
      <c r="CR983" s="129"/>
      <c r="CT983" s="132"/>
      <c r="CU983" s="128"/>
      <c r="CV983" s="129"/>
      <c r="CX983" s="132"/>
      <c r="CY983" s="128"/>
      <c r="CZ983" s="129"/>
      <c r="DB983" s="132"/>
      <c r="DC983" s="128"/>
      <c r="DD983" s="129"/>
      <c r="DF983" s="132"/>
      <c r="DG983" s="85"/>
      <c r="DH983" s="85"/>
      <c r="DI983" s="84"/>
      <c r="DK983" s="84"/>
      <c r="DP983" s="84"/>
      <c r="DU983" s="84"/>
      <c r="DY983" s="84"/>
      <c r="EC983" s="84"/>
      <c r="EG983" s="84"/>
      <c r="EK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128"/>
      <c r="AA984" s="129"/>
      <c r="AC984" s="130"/>
      <c r="AD984" s="128"/>
      <c r="AE984" s="129"/>
      <c r="AG984" s="130"/>
      <c r="AH984" s="128"/>
      <c r="AI984" s="129"/>
      <c r="AK984" s="130"/>
      <c r="AL984" s="128"/>
      <c r="AM984" s="129"/>
      <c r="AO984" s="130"/>
      <c r="AP984" s="128"/>
      <c r="AQ984" s="129"/>
      <c r="AS984" s="130"/>
      <c r="AT984" s="128"/>
      <c r="AU984" s="129"/>
      <c r="AW984" s="130"/>
      <c r="AX984" s="85"/>
      <c r="AY984" s="84"/>
      <c r="AZ984" s="84"/>
      <c r="BA984" s="131"/>
      <c r="BB984" s="84"/>
      <c r="BE984" s="84"/>
      <c r="BI984" s="86"/>
      <c r="BO984" s="84"/>
      <c r="BT984" s="84"/>
      <c r="BY984" s="84"/>
      <c r="CD984" s="84"/>
      <c r="CI984" s="128"/>
      <c r="CJ984" s="129"/>
      <c r="CL984" s="132"/>
      <c r="CM984" s="128"/>
      <c r="CN984" s="129"/>
      <c r="CP984" s="132"/>
      <c r="CQ984" s="128"/>
      <c r="CR984" s="129"/>
      <c r="CT984" s="132"/>
      <c r="CU984" s="128"/>
      <c r="CV984" s="129"/>
      <c r="CX984" s="132"/>
      <c r="CY984" s="128"/>
      <c r="CZ984" s="129"/>
      <c r="DB984" s="132"/>
      <c r="DC984" s="128"/>
      <c r="DD984" s="129"/>
      <c r="DF984" s="132"/>
      <c r="DG984" s="85"/>
      <c r="DH984" s="85"/>
      <c r="DI984" s="84"/>
      <c r="DK984" s="84"/>
      <c r="DP984" s="84"/>
      <c r="DU984" s="84"/>
      <c r="DY984" s="84"/>
      <c r="EC984" s="84"/>
      <c r="EG984" s="84"/>
      <c r="EK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128"/>
      <c r="AA985" s="129"/>
      <c r="AC985" s="130"/>
      <c r="AD985" s="128"/>
      <c r="AE985" s="129"/>
      <c r="AG985" s="130"/>
      <c r="AH985" s="128"/>
      <c r="AI985" s="129"/>
      <c r="AK985" s="130"/>
      <c r="AL985" s="128"/>
      <c r="AM985" s="129"/>
      <c r="AO985" s="130"/>
      <c r="AP985" s="128"/>
      <c r="AQ985" s="129"/>
      <c r="AS985" s="130"/>
      <c r="AT985" s="128"/>
      <c r="AU985" s="129"/>
      <c r="AW985" s="130"/>
      <c r="AX985" s="85"/>
      <c r="AY985" s="84"/>
      <c r="AZ985" s="84"/>
      <c r="BA985" s="131"/>
      <c r="BB985" s="84"/>
      <c r="BE985" s="84"/>
      <c r="BI985" s="86"/>
      <c r="BO985" s="84"/>
      <c r="BT985" s="84"/>
      <c r="BY985" s="84"/>
      <c r="CD985" s="84"/>
      <c r="CI985" s="128"/>
      <c r="CJ985" s="129"/>
      <c r="CL985" s="132"/>
      <c r="CM985" s="128"/>
      <c r="CN985" s="129"/>
      <c r="CP985" s="132"/>
      <c r="CQ985" s="128"/>
      <c r="CR985" s="129"/>
      <c r="CT985" s="132"/>
      <c r="CU985" s="128"/>
      <c r="CV985" s="129"/>
      <c r="CX985" s="132"/>
      <c r="CY985" s="128"/>
      <c r="CZ985" s="129"/>
      <c r="DB985" s="132"/>
      <c r="DC985" s="128"/>
      <c r="DD985" s="129"/>
      <c r="DF985" s="132"/>
      <c r="DG985" s="85"/>
      <c r="DH985" s="85"/>
      <c r="DI985" s="84"/>
      <c r="DK985" s="84"/>
      <c r="DP985" s="84"/>
      <c r="DU985" s="84"/>
      <c r="DY985" s="84"/>
      <c r="EC985" s="84"/>
      <c r="EG985" s="84"/>
      <c r="EK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128"/>
      <c r="AA986" s="129"/>
      <c r="AC986" s="130"/>
      <c r="AD986" s="128"/>
      <c r="AE986" s="129"/>
      <c r="AG986" s="130"/>
      <c r="AH986" s="128"/>
      <c r="AI986" s="129"/>
      <c r="AK986" s="130"/>
      <c r="AL986" s="128"/>
      <c r="AM986" s="129"/>
      <c r="AO986" s="130"/>
      <c r="AP986" s="128"/>
      <c r="AQ986" s="129"/>
      <c r="AS986" s="130"/>
      <c r="AT986" s="128"/>
      <c r="AU986" s="129"/>
      <c r="AW986" s="130"/>
      <c r="AX986" s="85"/>
      <c r="AY986" s="84"/>
      <c r="AZ986" s="84"/>
      <c r="BA986" s="131"/>
      <c r="BB986" s="84"/>
      <c r="BE986" s="84"/>
      <c r="BI986" s="86"/>
      <c r="BO986" s="84"/>
      <c r="BT986" s="84"/>
      <c r="BY986" s="84"/>
      <c r="CD986" s="84"/>
      <c r="CI986" s="128"/>
      <c r="CJ986" s="129"/>
      <c r="CL986" s="132"/>
      <c r="CM986" s="128"/>
      <c r="CN986" s="129"/>
      <c r="CP986" s="132"/>
      <c r="CQ986" s="128"/>
      <c r="CR986" s="129"/>
      <c r="CT986" s="132"/>
      <c r="CU986" s="128"/>
      <c r="CV986" s="129"/>
      <c r="CX986" s="132"/>
      <c r="CY986" s="128"/>
      <c r="CZ986" s="129"/>
      <c r="DB986" s="132"/>
      <c r="DC986" s="128"/>
      <c r="DD986" s="129"/>
      <c r="DF986" s="132"/>
      <c r="DG986" s="85"/>
      <c r="DH986" s="85"/>
      <c r="DI986" s="84"/>
      <c r="DK986" s="84"/>
      <c r="DP986" s="84"/>
      <c r="DU986" s="84"/>
      <c r="DY986" s="84"/>
      <c r="EC986" s="84"/>
      <c r="EG986" s="84"/>
      <c r="EK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128"/>
      <c r="AA987" s="129"/>
      <c r="AC987" s="130"/>
      <c r="AD987" s="128"/>
      <c r="AE987" s="129"/>
      <c r="AG987" s="130"/>
      <c r="AH987" s="128"/>
      <c r="AI987" s="129"/>
      <c r="AK987" s="130"/>
      <c r="AL987" s="128"/>
      <c r="AM987" s="129"/>
      <c r="AO987" s="130"/>
      <c r="AP987" s="128"/>
      <c r="AQ987" s="129"/>
      <c r="AS987" s="130"/>
      <c r="AT987" s="128"/>
      <c r="AU987" s="129"/>
      <c r="AW987" s="130"/>
      <c r="AX987" s="85"/>
      <c r="AY987" s="84"/>
      <c r="AZ987" s="84"/>
      <c r="BA987" s="131"/>
      <c r="BB987" s="84"/>
      <c r="BE987" s="84"/>
      <c r="BI987" s="86"/>
      <c r="BO987" s="84"/>
      <c r="BT987" s="84"/>
      <c r="BY987" s="84"/>
      <c r="CD987" s="84"/>
      <c r="CI987" s="128"/>
      <c r="CJ987" s="129"/>
      <c r="CL987" s="132"/>
      <c r="CM987" s="128"/>
      <c r="CN987" s="129"/>
      <c r="CP987" s="132"/>
      <c r="CQ987" s="128"/>
      <c r="CR987" s="129"/>
      <c r="CT987" s="132"/>
      <c r="CU987" s="128"/>
      <c r="CV987" s="129"/>
      <c r="CX987" s="132"/>
      <c r="CY987" s="128"/>
      <c r="CZ987" s="129"/>
      <c r="DB987" s="132"/>
      <c r="DC987" s="128"/>
      <c r="DD987" s="129"/>
      <c r="DF987" s="132"/>
      <c r="DG987" s="85"/>
      <c r="DH987" s="85"/>
      <c r="DI987" s="84"/>
      <c r="DK987" s="84"/>
      <c r="DP987" s="84"/>
      <c r="DU987" s="84"/>
      <c r="DY987" s="84"/>
      <c r="EC987" s="84"/>
      <c r="EG987" s="84"/>
      <c r="EK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128"/>
      <c r="AA988" s="129"/>
      <c r="AC988" s="130"/>
      <c r="AD988" s="128"/>
      <c r="AE988" s="129"/>
      <c r="AG988" s="130"/>
      <c r="AH988" s="128"/>
      <c r="AI988" s="129"/>
      <c r="AK988" s="130"/>
      <c r="AL988" s="128"/>
      <c r="AM988" s="129"/>
      <c r="AO988" s="130"/>
      <c r="AP988" s="128"/>
      <c r="AQ988" s="129"/>
      <c r="AS988" s="130"/>
      <c r="AT988" s="128"/>
      <c r="AU988" s="129"/>
      <c r="AW988" s="130"/>
      <c r="AX988" s="85"/>
      <c r="AY988" s="84"/>
      <c r="AZ988" s="84"/>
      <c r="BA988" s="131"/>
      <c r="BB988" s="84"/>
      <c r="BE988" s="84"/>
      <c r="BI988" s="86"/>
      <c r="BO988" s="84"/>
      <c r="BT988" s="84"/>
      <c r="BY988" s="84"/>
      <c r="CD988" s="84"/>
      <c r="CI988" s="128"/>
      <c r="CJ988" s="129"/>
      <c r="CL988" s="132"/>
      <c r="CM988" s="128"/>
      <c r="CN988" s="129"/>
      <c r="CP988" s="132"/>
      <c r="CQ988" s="128"/>
      <c r="CR988" s="129"/>
      <c r="CT988" s="132"/>
      <c r="CU988" s="128"/>
      <c r="CV988" s="129"/>
      <c r="CX988" s="132"/>
      <c r="CY988" s="128"/>
      <c r="CZ988" s="129"/>
      <c r="DB988" s="132"/>
      <c r="DC988" s="128"/>
      <c r="DD988" s="129"/>
      <c r="DF988" s="132"/>
      <c r="DG988" s="85"/>
      <c r="DH988" s="85"/>
      <c r="DI988" s="84"/>
      <c r="DK988" s="84"/>
      <c r="DP988" s="84"/>
      <c r="DU988" s="84"/>
      <c r="DY988" s="84"/>
      <c r="EC988" s="84"/>
      <c r="EG988" s="84"/>
      <c r="EK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128"/>
      <c r="AA989" s="129"/>
      <c r="AC989" s="130"/>
      <c r="AD989" s="128"/>
      <c r="AE989" s="129"/>
      <c r="AG989" s="130"/>
      <c r="AH989" s="128"/>
      <c r="AI989" s="129"/>
      <c r="AK989" s="130"/>
      <c r="AL989" s="128"/>
      <c r="AM989" s="129"/>
      <c r="AO989" s="130"/>
      <c r="AP989" s="128"/>
      <c r="AQ989" s="129"/>
      <c r="AS989" s="130"/>
      <c r="AT989" s="128"/>
      <c r="AU989" s="129"/>
      <c r="AW989" s="130"/>
      <c r="AX989" s="85"/>
      <c r="AY989" s="84"/>
      <c r="AZ989" s="84"/>
      <c r="BA989" s="131"/>
      <c r="BB989" s="84"/>
      <c r="BE989" s="84"/>
      <c r="BI989" s="86"/>
      <c r="BO989" s="84"/>
      <c r="BT989" s="84"/>
      <c r="BY989" s="84"/>
      <c r="CD989" s="84"/>
      <c r="CI989" s="128"/>
      <c r="CJ989" s="129"/>
      <c r="CL989" s="132"/>
      <c r="CM989" s="128"/>
      <c r="CN989" s="129"/>
      <c r="CP989" s="132"/>
      <c r="CQ989" s="128"/>
      <c r="CR989" s="129"/>
      <c r="CT989" s="132"/>
      <c r="CU989" s="128"/>
      <c r="CV989" s="129"/>
      <c r="CX989" s="132"/>
      <c r="CY989" s="128"/>
      <c r="CZ989" s="129"/>
      <c r="DB989" s="132"/>
      <c r="DC989" s="128"/>
      <c r="DD989" s="129"/>
      <c r="DF989" s="132"/>
      <c r="DG989" s="85"/>
      <c r="DH989" s="85"/>
      <c r="DI989" s="84"/>
      <c r="DK989" s="84"/>
      <c r="DP989" s="84"/>
      <c r="DU989" s="84"/>
      <c r="DY989" s="84"/>
      <c r="EC989" s="84"/>
      <c r="EG989" s="84"/>
      <c r="EK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128"/>
      <c r="AA990" s="129"/>
      <c r="AC990" s="130"/>
      <c r="AD990" s="128"/>
      <c r="AE990" s="129"/>
      <c r="AG990" s="130"/>
      <c r="AH990" s="128"/>
      <c r="AI990" s="129"/>
      <c r="AK990" s="130"/>
      <c r="AL990" s="128"/>
      <c r="AM990" s="129"/>
      <c r="AO990" s="130"/>
      <c r="AP990" s="128"/>
      <c r="AQ990" s="129"/>
      <c r="AS990" s="130"/>
      <c r="AT990" s="128"/>
      <c r="AU990" s="129"/>
      <c r="AW990" s="130"/>
      <c r="AX990" s="85"/>
      <c r="AY990" s="84"/>
      <c r="AZ990" s="84"/>
      <c r="BA990" s="131"/>
      <c r="BB990" s="84"/>
      <c r="BE990" s="84"/>
      <c r="BI990" s="86"/>
      <c r="BO990" s="84"/>
      <c r="BT990" s="84"/>
      <c r="BY990" s="84"/>
      <c r="CD990" s="84"/>
      <c r="CI990" s="128"/>
      <c r="CJ990" s="129"/>
      <c r="CL990" s="132"/>
      <c r="CM990" s="128"/>
      <c r="CN990" s="129"/>
      <c r="CP990" s="132"/>
      <c r="CQ990" s="128"/>
      <c r="CR990" s="129"/>
      <c r="CT990" s="132"/>
      <c r="CU990" s="128"/>
      <c r="CV990" s="129"/>
      <c r="CX990" s="132"/>
      <c r="CY990" s="128"/>
      <c r="CZ990" s="129"/>
      <c r="DB990" s="132"/>
      <c r="DC990" s="128"/>
      <c r="DD990" s="129"/>
      <c r="DF990" s="132"/>
      <c r="DG990" s="85"/>
      <c r="DH990" s="85"/>
      <c r="DI990" s="84"/>
      <c r="DK990" s="84"/>
      <c r="DP990" s="84"/>
      <c r="DU990" s="84"/>
      <c r="DY990" s="84"/>
      <c r="EC990" s="84"/>
      <c r="EG990" s="84"/>
      <c r="EK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128"/>
      <c r="AA991" s="129"/>
      <c r="AC991" s="130"/>
      <c r="AD991" s="128"/>
      <c r="AE991" s="129"/>
      <c r="AG991" s="130"/>
      <c r="AH991" s="128"/>
      <c r="AI991" s="129"/>
      <c r="AK991" s="130"/>
      <c r="AL991" s="128"/>
      <c r="AM991" s="129"/>
      <c r="AO991" s="130"/>
      <c r="AP991" s="128"/>
      <c r="AQ991" s="129"/>
      <c r="AS991" s="130"/>
      <c r="AT991" s="128"/>
      <c r="AU991" s="129"/>
      <c r="AW991" s="130"/>
      <c r="AX991" s="85"/>
      <c r="AY991" s="84"/>
      <c r="AZ991" s="84"/>
      <c r="BA991" s="131"/>
      <c r="BB991" s="84"/>
      <c r="BE991" s="84"/>
      <c r="BI991" s="86"/>
      <c r="BO991" s="84"/>
      <c r="BT991" s="84"/>
      <c r="BY991" s="84"/>
      <c r="CD991" s="84"/>
      <c r="CI991" s="128"/>
      <c r="CJ991" s="129"/>
      <c r="CL991" s="132"/>
      <c r="CM991" s="128"/>
      <c r="CN991" s="129"/>
      <c r="CP991" s="132"/>
      <c r="CQ991" s="128"/>
      <c r="CR991" s="129"/>
      <c r="CT991" s="132"/>
      <c r="CU991" s="128"/>
      <c r="CV991" s="129"/>
      <c r="CX991" s="132"/>
      <c r="CY991" s="128"/>
      <c r="CZ991" s="129"/>
      <c r="DB991" s="132"/>
      <c r="DC991" s="128"/>
      <c r="DD991" s="129"/>
      <c r="DF991" s="132"/>
      <c r="DG991" s="85"/>
      <c r="DH991" s="85"/>
      <c r="DI991" s="84"/>
      <c r="DK991" s="84"/>
      <c r="DP991" s="84"/>
      <c r="DU991" s="84"/>
      <c r="DY991" s="84"/>
      <c r="EC991" s="84"/>
      <c r="EG991" s="84"/>
      <c r="EK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128"/>
      <c r="AA992" s="129"/>
      <c r="AC992" s="130"/>
      <c r="AD992" s="128"/>
      <c r="AE992" s="129"/>
      <c r="AG992" s="130"/>
      <c r="AH992" s="128"/>
      <c r="AI992" s="129"/>
      <c r="AK992" s="130"/>
      <c r="AL992" s="128"/>
      <c r="AM992" s="129"/>
      <c r="AO992" s="130"/>
      <c r="AP992" s="128"/>
      <c r="AQ992" s="129"/>
      <c r="AS992" s="130"/>
      <c r="AT992" s="128"/>
      <c r="AU992" s="129"/>
      <c r="AW992" s="130"/>
      <c r="AX992" s="85"/>
      <c r="AY992" s="84"/>
      <c r="AZ992" s="84"/>
      <c r="BA992" s="131"/>
      <c r="BB992" s="84"/>
      <c r="BE992" s="84"/>
      <c r="BI992" s="86"/>
      <c r="BO992" s="84"/>
      <c r="BT992" s="84"/>
      <c r="BY992" s="84"/>
      <c r="CD992" s="84"/>
      <c r="CI992" s="128"/>
      <c r="CJ992" s="129"/>
      <c r="CL992" s="132"/>
      <c r="CM992" s="128"/>
      <c r="CN992" s="129"/>
      <c r="CP992" s="132"/>
      <c r="CQ992" s="128"/>
      <c r="CR992" s="129"/>
      <c r="CT992" s="132"/>
      <c r="CU992" s="128"/>
      <c r="CV992" s="129"/>
      <c r="CX992" s="132"/>
      <c r="CY992" s="128"/>
      <c r="CZ992" s="129"/>
      <c r="DB992" s="132"/>
      <c r="DC992" s="128"/>
      <c r="DD992" s="129"/>
      <c r="DF992" s="132"/>
      <c r="DG992" s="85"/>
      <c r="DH992" s="85"/>
      <c r="DI992" s="84"/>
      <c r="DK992" s="84"/>
      <c r="DP992" s="84"/>
      <c r="DU992" s="84"/>
      <c r="DY992" s="84"/>
      <c r="EC992" s="84"/>
      <c r="EG992" s="84"/>
      <c r="EK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128"/>
      <c r="AA993" s="129"/>
      <c r="AC993" s="130"/>
      <c r="AD993" s="128"/>
      <c r="AE993" s="129"/>
      <c r="AG993" s="130"/>
      <c r="AH993" s="128"/>
      <c r="AI993" s="129"/>
      <c r="AK993" s="130"/>
      <c r="AL993" s="128"/>
      <c r="AM993" s="129"/>
      <c r="AO993" s="130"/>
      <c r="AP993" s="128"/>
      <c r="AQ993" s="129"/>
      <c r="AS993" s="130"/>
      <c r="AT993" s="128"/>
      <c r="AU993" s="129"/>
      <c r="AW993" s="130"/>
      <c r="AX993" s="85"/>
      <c r="AY993" s="84"/>
      <c r="AZ993" s="84"/>
      <c r="BA993" s="131"/>
      <c r="BB993" s="84"/>
      <c r="BE993" s="84"/>
      <c r="BI993" s="86"/>
      <c r="BO993" s="84"/>
      <c r="BT993" s="84"/>
      <c r="BY993" s="84"/>
      <c r="CD993" s="84"/>
      <c r="CI993" s="128"/>
      <c r="CJ993" s="129"/>
      <c r="CL993" s="132"/>
      <c r="CM993" s="128"/>
      <c r="CN993" s="129"/>
      <c r="CP993" s="132"/>
      <c r="CQ993" s="128"/>
      <c r="CR993" s="129"/>
      <c r="CT993" s="132"/>
      <c r="CU993" s="128"/>
      <c r="CV993" s="129"/>
      <c r="CX993" s="132"/>
      <c r="CY993" s="128"/>
      <c r="CZ993" s="129"/>
      <c r="DB993" s="132"/>
      <c r="DC993" s="128"/>
      <c r="DD993" s="129"/>
      <c r="DF993" s="132"/>
      <c r="DG993" s="85"/>
      <c r="DH993" s="85"/>
      <c r="DI993" s="84"/>
      <c r="DK993" s="84"/>
      <c r="DP993" s="84"/>
      <c r="DU993" s="84"/>
      <c r="DY993" s="84"/>
      <c r="EC993" s="84"/>
      <c r="EG993" s="84"/>
      <c r="EK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128"/>
      <c r="AA994" s="129"/>
      <c r="AC994" s="130"/>
      <c r="AD994" s="128"/>
      <c r="AE994" s="129"/>
      <c r="AG994" s="130"/>
      <c r="AH994" s="128"/>
      <c r="AI994" s="129"/>
      <c r="AK994" s="130"/>
      <c r="AL994" s="128"/>
      <c r="AM994" s="129"/>
      <c r="AO994" s="130"/>
      <c r="AP994" s="128"/>
      <c r="AQ994" s="129"/>
      <c r="AS994" s="130"/>
      <c r="AT994" s="128"/>
      <c r="AU994" s="129"/>
      <c r="AW994" s="130"/>
      <c r="AX994" s="85"/>
      <c r="AY994" s="84"/>
      <c r="AZ994" s="84"/>
      <c r="BA994" s="131"/>
      <c r="BB994" s="84"/>
      <c r="BE994" s="84"/>
      <c r="BI994" s="86"/>
      <c r="BO994" s="84"/>
      <c r="BT994" s="84"/>
      <c r="BY994" s="84"/>
      <c r="CD994" s="84"/>
      <c r="CI994" s="128"/>
      <c r="CJ994" s="129"/>
      <c r="CL994" s="132"/>
      <c r="CM994" s="128"/>
      <c r="CN994" s="129"/>
      <c r="CP994" s="132"/>
      <c r="CQ994" s="128"/>
      <c r="CR994" s="129"/>
      <c r="CT994" s="132"/>
      <c r="CU994" s="128"/>
      <c r="CV994" s="129"/>
      <c r="CX994" s="132"/>
      <c r="CY994" s="128"/>
      <c r="CZ994" s="129"/>
      <c r="DB994" s="132"/>
      <c r="DC994" s="128"/>
      <c r="DD994" s="129"/>
      <c r="DF994" s="132"/>
      <c r="DG994" s="85"/>
      <c r="DH994" s="85"/>
      <c r="DI994" s="84"/>
      <c r="DK994" s="84"/>
      <c r="DP994" s="84"/>
      <c r="DU994" s="84"/>
      <c r="DY994" s="84"/>
      <c r="EC994" s="84"/>
      <c r="EG994" s="84"/>
      <c r="EK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128"/>
      <c r="AA995" s="129"/>
      <c r="AC995" s="130"/>
      <c r="AD995" s="128"/>
      <c r="AE995" s="129"/>
      <c r="AG995" s="130"/>
      <c r="AH995" s="128"/>
      <c r="AI995" s="129"/>
      <c r="AK995" s="130"/>
      <c r="AL995" s="128"/>
      <c r="AM995" s="129"/>
      <c r="AO995" s="130"/>
      <c r="AP995" s="128"/>
      <c r="AQ995" s="129"/>
      <c r="AS995" s="130"/>
      <c r="AT995" s="128"/>
      <c r="AU995" s="129"/>
      <c r="AW995" s="130"/>
      <c r="AX995" s="85"/>
      <c r="AY995" s="84"/>
      <c r="AZ995" s="84"/>
      <c r="BA995" s="131"/>
      <c r="BB995" s="84"/>
      <c r="BE995" s="84"/>
      <c r="BI995" s="86"/>
      <c r="BO995" s="84"/>
      <c r="BT995" s="84"/>
      <c r="BY995" s="84"/>
      <c r="CD995" s="84"/>
      <c r="CI995" s="128"/>
      <c r="CJ995" s="129"/>
      <c r="CL995" s="132"/>
      <c r="CM995" s="128"/>
      <c r="CN995" s="129"/>
      <c r="CP995" s="132"/>
      <c r="CQ995" s="128"/>
      <c r="CR995" s="129"/>
      <c r="CT995" s="132"/>
      <c r="CU995" s="128"/>
      <c r="CV995" s="129"/>
      <c r="CX995" s="132"/>
      <c r="CY995" s="128"/>
      <c r="CZ995" s="129"/>
      <c r="DB995" s="132"/>
      <c r="DC995" s="128"/>
      <c r="DD995" s="129"/>
      <c r="DF995" s="132"/>
      <c r="DG995" s="85"/>
      <c r="DH995" s="85"/>
      <c r="DI995" s="84"/>
      <c r="DK995" s="84"/>
      <c r="DP995" s="84"/>
      <c r="DU995" s="84"/>
      <c r="DY995" s="84"/>
      <c r="EC995" s="84"/>
      <c r="EG995" s="84"/>
      <c r="EK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128"/>
      <c r="AA996" s="129"/>
      <c r="AC996" s="130"/>
      <c r="AD996" s="128"/>
      <c r="AE996" s="129"/>
      <c r="AG996" s="130"/>
      <c r="AH996" s="128"/>
      <c r="AI996" s="129"/>
      <c r="AK996" s="130"/>
      <c r="AL996" s="128"/>
      <c r="AM996" s="129"/>
      <c r="AO996" s="130"/>
      <c r="AP996" s="128"/>
      <c r="AQ996" s="129"/>
      <c r="AS996" s="130"/>
      <c r="AT996" s="128"/>
      <c r="AU996" s="129"/>
      <c r="AW996" s="130"/>
      <c r="AX996" s="85"/>
      <c r="AY996" s="84"/>
      <c r="AZ996" s="84"/>
      <c r="BA996" s="131"/>
      <c r="BB996" s="84"/>
      <c r="BE996" s="84"/>
      <c r="BI996" s="86"/>
      <c r="BO996" s="84"/>
      <c r="BT996" s="84"/>
      <c r="BY996" s="84"/>
      <c r="CD996" s="84"/>
      <c r="CI996" s="128"/>
      <c r="CJ996" s="129"/>
      <c r="CL996" s="132"/>
      <c r="CM996" s="128"/>
      <c r="CN996" s="129"/>
      <c r="CP996" s="132"/>
      <c r="CQ996" s="128"/>
      <c r="CR996" s="129"/>
      <c r="CT996" s="132"/>
      <c r="CU996" s="128"/>
      <c r="CV996" s="129"/>
      <c r="CX996" s="132"/>
      <c r="CY996" s="128"/>
      <c r="CZ996" s="129"/>
      <c r="DB996" s="132"/>
      <c r="DC996" s="128"/>
      <c r="DD996" s="129"/>
      <c r="DF996" s="132"/>
      <c r="DG996" s="85"/>
      <c r="DH996" s="85"/>
      <c r="DI996" s="84"/>
      <c r="DK996" s="84"/>
      <c r="DP996" s="84"/>
      <c r="DU996" s="84"/>
      <c r="DY996" s="84"/>
      <c r="EC996" s="84"/>
      <c r="EG996" s="84"/>
      <c r="EK996" s="84"/>
    </row>
  </sheetData>
  <mergeCells count="39">
    <mergeCell ref="DP1:DT1"/>
    <mergeCell ref="DU1:EN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Z2:BA2"/>
    <mergeCell ref="BB2:BD2"/>
    <mergeCell ref="BE2:BI2"/>
    <mergeCell ref="BJ2:BN2"/>
    <mergeCell ref="BO2:BS2"/>
    <mergeCell ref="BT2:BX2"/>
    <mergeCell ref="BY2:CC2"/>
    <mergeCell ref="CD2:CH2"/>
    <mergeCell ref="CI2:CL2"/>
    <mergeCell ref="CM2:CP2"/>
    <mergeCell ref="CQ2:CT2"/>
    <mergeCell ref="CU2:CX2"/>
    <mergeCell ref="CY2:DB2"/>
    <mergeCell ref="DC2:DF2"/>
    <mergeCell ref="DI2:DJ2"/>
    <mergeCell ref="DK2:DO2"/>
    <mergeCell ref="DP2:DT2"/>
    <mergeCell ref="DU2:DX2"/>
    <mergeCell ref="DY2:EB2"/>
    <mergeCell ref="EC2:EF2"/>
    <mergeCell ref="EG2:EJ2"/>
    <mergeCell ref="EK2:EN2"/>
    <mergeCell ref="BB13:BD13"/>
    <mergeCell ref="BB14:BD14"/>
    <mergeCell ref="DR14:DT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Z1000"/>
  <sheetViews>
    <sheetView showFormulas="false" showGridLines="true" showRowColHeaders="true" showZeros="true" rightToLeft="false" tabSelected="false" showOutlineSymbols="true" defaultGridColor="true" view="normal" topLeftCell="BC3" colorId="64" zoomScale="120" zoomScaleNormal="120" zoomScalePageLayoutView="100" workbookViewId="0">
      <selection pane="topLeft" activeCell="BE40" activeCellId="0" sqref="BE40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27.99"/>
    <col collapsed="false" customWidth="true" hidden="false" outlineLevel="0" max="2" min="2" style="0" width="10.85"/>
    <col collapsed="false" customWidth="true" hidden="false" outlineLevel="0" max="3" min="3" style="0" width="9.71"/>
    <col collapsed="false" customWidth="true" hidden="false" outlineLevel="0" max="4" min="4" style="0" width="10.99"/>
    <col collapsed="false" customWidth="true" hidden="false" outlineLevel="0" max="5" min="5" style="0" width="16.14"/>
    <col collapsed="false" customWidth="true" hidden="false" outlineLevel="0" max="6" min="6" style="0" width="10.71"/>
    <col collapsed="false" customWidth="true" hidden="false" outlineLevel="0" max="7" min="7" style="0" width="9.71"/>
    <col collapsed="false" customWidth="true" hidden="false" outlineLevel="0" max="8" min="8" style="0" width="10.99"/>
    <col collapsed="false" customWidth="true" hidden="false" outlineLevel="0" max="9" min="9" style="0" width="16.14"/>
    <col collapsed="false" customWidth="true" hidden="false" outlineLevel="0" max="10" min="10" style="0" width="10.71"/>
    <col collapsed="false" customWidth="true" hidden="false" outlineLevel="0" max="11" min="11" style="0" width="9.71"/>
    <col collapsed="false" customWidth="true" hidden="false" outlineLevel="0" max="12" min="12" style="0" width="10.99"/>
    <col collapsed="false" customWidth="true" hidden="false" outlineLevel="0" max="13" min="13" style="0" width="16.14"/>
    <col collapsed="false" customWidth="true" hidden="false" outlineLevel="0" max="14" min="14" style="0" width="11.99"/>
    <col collapsed="false" customWidth="true" hidden="false" outlineLevel="0" max="15" min="15" style="0" width="9.71"/>
    <col collapsed="false" customWidth="true" hidden="false" outlineLevel="0" max="16" min="16" style="0" width="10.99"/>
    <col collapsed="false" customWidth="true" hidden="false" outlineLevel="0" max="17" min="17" style="0" width="16.14"/>
    <col collapsed="false" customWidth="true" hidden="false" outlineLevel="0" max="18" min="18" style="0" width="11.99"/>
    <col collapsed="false" customWidth="true" hidden="false" outlineLevel="0" max="19" min="19" style="0" width="9.71"/>
    <col collapsed="false" customWidth="true" hidden="false" outlineLevel="0" max="20" min="20" style="0" width="10.99"/>
    <col collapsed="false" customWidth="true" hidden="false" outlineLevel="0" max="21" min="21" style="0" width="16.14"/>
    <col collapsed="false" customWidth="true" hidden="false" outlineLevel="0" max="22" min="22" style="0" width="11.99"/>
    <col collapsed="false" customWidth="true" hidden="false" outlineLevel="0" max="23" min="23" style="0" width="9.71"/>
    <col collapsed="false" customWidth="true" hidden="false" outlineLevel="0" max="24" min="24" style="0" width="10.99"/>
    <col collapsed="false" customWidth="true" hidden="false" outlineLevel="0" max="25" min="25" style="0" width="16.14"/>
    <col collapsed="false" customWidth="true" hidden="false" outlineLevel="0" max="26" min="26" style="0" width="10.42"/>
    <col collapsed="false" customWidth="true" hidden="false" outlineLevel="0" max="27" min="27" style="0" width="10.58"/>
    <col collapsed="false" customWidth="true" hidden="false" outlineLevel="0" max="28" min="28" style="0" width="10.99"/>
    <col collapsed="false" customWidth="true" hidden="false" outlineLevel="0" max="29" min="29" style="0" width="16.14"/>
    <col collapsed="false" customWidth="true" hidden="false" outlineLevel="0" max="30" min="30" style="0" width="10.42"/>
    <col collapsed="false" customWidth="true" hidden="false" outlineLevel="0" max="31" min="31" style="0" width="10.58"/>
    <col collapsed="false" customWidth="true" hidden="false" outlineLevel="0" max="32" min="32" style="0" width="10.99"/>
    <col collapsed="false" customWidth="true" hidden="false" outlineLevel="0" max="33" min="33" style="0" width="16.14"/>
    <col collapsed="false" customWidth="true" hidden="false" outlineLevel="0" max="34" min="34" style="0" width="10.42"/>
    <col collapsed="false" customWidth="true" hidden="false" outlineLevel="0" max="35" min="35" style="0" width="10.58"/>
    <col collapsed="false" customWidth="true" hidden="false" outlineLevel="0" max="36" min="36" style="0" width="10.99"/>
    <col collapsed="false" customWidth="true" hidden="false" outlineLevel="0" max="37" min="37" style="0" width="16.14"/>
    <col collapsed="false" customWidth="true" hidden="false" outlineLevel="0" max="38" min="38" style="0" width="10.42"/>
    <col collapsed="false" customWidth="true" hidden="false" outlineLevel="0" max="39" min="39" style="0" width="10.58"/>
    <col collapsed="false" customWidth="true" hidden="false" outlineLevel="0" max="40" min="40" style="0" width="10.99"/>
    <col collapsed="false" customWidth="true" hidden="false" outlineLevel="0" max="41" min="41" style="0" width="16.14"/>
    <col collapsed="false" customWidth="true" hidden="false" outlineLevel="0" max="42" min="42" style="0" width="10.42"/>
    <col collapsed="false" customWidth="true" hidden="false" outlineLevel="0" max="43" min="43" style="0" width="10.58"/>
    <col collapsed="false" customWidth="true" hidden="false" outlineLevel="0" max="44" min="44" style="0" width="10.99"/>
    <col collapsed="false" customWidth="true" hidden="false" outlineLevel="0" max="45" min="45" style="0" width="16.14"/>
    <col collapsed="false" customWidth="true" hidden="false" outlineLevel="0" max="46" min="46" style="0" width="10.42"/>
    <col collapsed="false" customWidth="true" hidden="false" outlineLevel="0" max="47" min="47" style="0" width="10.58"/>
    <col collapsed="false" customWidth="true" hidden="false" outlineLevel="0" max="48" min="48" style="0" width="10.99"/>
    <col collapsed="false" customWidth="true" hidden="false" outlineLevel="0" max="49" min="49" style="0" width="16.14"/>
    <col collapsed="false" customWidth="true" hidden="false" outlineLevel="0" max="50" min="50" style="0" width="10.42"/>
    <col collapsed="false" customWidth="true" hidden="false" outlineLevel="0" max="51" min="51" style="0" width="10.58"/>
    <col collapsed="false" customWidth="true" hidden="false" outlineLevel="0" max="52" min="52" style="0" width="10.99"/>
    <col collapsed="false" customWidth="true" hidden="false" outlineLevel="0" max="53" min="53" style="0" width="16.14"/>
    <col collapsed="false" customWidth="true" hidden="false" outlineLevel="0" max="54" min="54" style="0" width="8.71"/>
    <col collapsed="false" customWidth="true" hidden="false" outlineLevel="0" max="55" min="55" style="0" width="21.86"/>
    <col collapsed="false" customWidth="true" hidden="false" outlineLevel="0" max="56" min="56" style="0" width="9.85"/>
    <col collapsed="false" customWidth="true" hidden="false" outlineLevel="0" max="57" min="57" style="0" width="15"/>
    <col collapsed="false" customWidth="true" hidden="false" outlineLevel="0" max="59" min="59" style="0" width="20.14"/>
    <col collapsed="false" customWidth="true" hidden="false" outlineLevel="0" max="60" min="60" style="0" width="15"/>
    <col collapsed="false" customWidth="true" hidden="false" outlineLevel="0" max="61" min="61" style="0" width="20.14"/>
    <col collapsed="false" customWidth="true" hidden="false" outlineLevel="0" max="62" min="62" style="0" width="10.42"/>
    <col collapsed="false" customWidth="true" hidden="false" outlineLevel="0" max="63" min="63" style="0" width="15.57"/>
    <col collapsed="false" customWidth="true" hidden="false" outlineLevel="0" max="64" min="64" style="0" width="13.02"/>
    <col collapsed="false" customWidth="true" hidden="false" outlineLevel="0" max="65" min="65" style="0" width="12.14"/>
    <col collapsed="false" customWidth="true" hidden="false" outlineLevel="0" max="66" min="66" style="0" width="24.57"/>
    <col collapsed="false" customWidth="true" hidden="false" outlineLevel="0" max="67" min="67" style="0" width="13.43"/>
    <col collapsed="false" customWidth="true" hidden="false" outlineLevel="0" max="68" min="68" style="0" width="18.58"/>
    <col collapsed="false" customWidth="true" hidden="false" outlineLevel="0" max="69" min="69" style="0" width="13.57"/>
    <col collapsed="false" customWidth="true" hidden="false" outlineLevel="0" max="70" min="70" style="0" width="12.14"/>
    <col collapsed="false" customWidth="true" hidden="false" outlineLevel="0" max="71" min="71" style="0" width="24.57"/>
    <col collapsed="false" customWidth="true" hidden="false" outlineLevel="0" max="72" min="72" style="0" width="13.43"/>
    <col collapsed="false" customWidth="true" hidden="false" outlineLevel="0" max="73" min="73" style="0" width="18.58"/>
    <col collapsed="false" customWidth="true" hidden="false" outlineLevel="0" max="74" min="74" style="0" width="13.86"/>
    <col collapsed="false" customWidth="true" hidden="false" outlineLevel="0" max="75" min="75" style="0" width="12.14"/>
    <col collapsed="false" customWidth="true" hidden="false" outlineLevel="0" max="76" min="76" style="0" width="24.57"/>
    <col collapsed="false" customWidth="true" hidden="false" outlineLevel="0" max="77" min="77" style="0" width="13.43"/>
    <col collapsed="false" customWidth="true" hidden="false" outlineLevel="0" max="78" min="78" style="0" width="18.58"/>
    <col collapsed="false" customWidth="true" hidden="false" outlineLevel="0" max="79" min="79" style="0" width="12.86"/>
    <col collapsed="false" customWidth="true" hidden="false" outlineLevel="0" max="80" min="80" style="0" width="12.14"/>
    <col collapsed="false" customWidth="true" hidden="false" outlineLevel="0" max="81" min="81" style="0" width="24.57"/>
    <col collapsed="false" customWidth="true" hidden="false" outlineLevel="0" max="82" min="82" style="0" width="13.43"/>
    <col collapsed="false" customWidth="true" hidden="false" outlineLevel="0" max="83" min="83" style="0" width="18.58"/>
    <col collapsed="false" customWidth="true" hidden="false" outlineLevel="0" max="84" min="84" style="0" width="12.86"/>
    <col collapsed="false" customWidth="true" hidden="false" outlineLevel="0" max="85" min="85" style="0" width="12.14"/>
    <col collapsed="false" customWidth="true" hidden="false" outlineLevel="0" max="86" min="86" style="0" width="24.57"/>
    <col collapsed="false" customWidth="true" hidden="false" outlineLevel="0" max="87" min="87" style="0" width="13.43"/>
    <col collapsed="false" customWidth="true" hidden="false" outlineLevel="0" max="88" min="88" style="0" width="18.58"/>
    <col collapsed="false" customWidth="true" hidden="false" outlineLevel="0" max="89" min="89" style="0" width="12.86"/>
    <col collapsed="false" customWidth="true" hidden="false" outlineLevel="0" max="90" min="90" style="0" width="12.14"/>
    <col collapsed="false" customWidth="true" hidden="false" outlineLevel="0" max="91" min="91" style="0" width="24.57"/>
    <col collapsed="false" customWidth="true" hidden="false" outlineLevel="0" max="92" min="92" style="0" width="13.43"/>
    <col collapsed="false" customWidth="true" hidden="false" outlineLevel="0" max="93" min="93" style="0" width="18.58"/>
    <col collapsed="false" customWidth="true" hidden="false" outlineLevel="0" max="94" min="94" style="0" width="13.29"/>
    <col collapsed="false" customWidth="true" hidden="false" outlineLevel="0" max="95" min="95" style="0" width="13.02"/>
    <col collapsed="false" customWidth="true" hidden="false" outlineLevel="0" max="96" min="96" style="0" width="13.43"/>
    <col collapsed="false" customWidth="true" hidden="false" outlineLevel="0" max="97" min="97" style="0" width="18.58"/>
    <col collapsed="false" customWidth="true" hidden="false" outlineLevel="0" max="98" min="98" style="0" width="13.29"/>
    <col collapsed="false" customWidth="true" hidden="false" outlineLevel="0" max="99" min="99" style="0" width="13.02"/>
    <col collapsed="false" customWidth="true" hidden="false" outlineLevel="0" max="100" min="100" style="0" width="13.43"/>
    <col collapsed="false" customWidth="true" hidden="false" outlineLevel="0" max="101" min="101" style="0" width="18.58"/>
    <col collapsed="false" customWidth="true" hidden="false" outlineLevel="0" max="102" min="102" style="0" width="13.29"/>
    <col collapsed="false" customWidth="true" hidden="false" outlineLevel="0" max="103" min="103" style="0" width="13.02"/>
    <col collapsed="false" customWidth="true" hidden="false" outlineLevel="0" max="104" min="104" style="0" width="13.43"/>
    <col collapsed="false" customWidth="true" hidden="false" outlineLevel="0" max="105" min="105" style="0" width="18.58"/>
    <col collapsed="false" customWidth="true" hidden="false" outlineLevel="0" max="106" min="106" style="0" width="13.29"/>
    <col collapsed="false" customWidth="true" hidden="false" outlineLevel="0" max="107" min="107" style="0" width="13.02"/>
    <col collapsed="false" customWidth="true" hidden="false" outlineLevel="0" max="108" min="108" style="0" width="13.43"/>
    <col collapsed="false" customWidth="true" hidden="false" outlineLevel="0" max="109" min="109" style="0" width="18.58"/>
    <col collapsed="false" customWidth="true" hidden="false" outlineLevel="0" max="110" min="110" style="0" width="13.29"/>
    <col collapsed="false" customWidth="true" hidden="false" outlineLevel="0" max="111" min="111" style="0" width="13.02"/>
    <col collapsed="false" customWidth="true" hidden="false" outlineLevel="0" max="112" min="112" style="0" width="13.43"/>
    <col collapsed="false" customWidth="true" hidden="false" outlineLevel="0" max="113" min="113" style="0" width="18.58"/>
    <col collapsed="false" customWidth="true" hidden="false" outlineLevel="0" max="114" min="114" style="0" width="13.29"/>
    <col collapsed="false" customWidth="true" hidden="false" outlineLevel="0" max="115" min="115" style="0" width="13.02"/>
    <col collapsed="false" customWidth="true" hidden="false" outlineLevel="0" max="116" min="116" style="0" width="13.43"/>
    <col collapsed="false" customWidth="true" hidden="false" outlineLevel="0" max="117" min="117" style="0" width="18.58"/>
    <col collapsed="false" customWidth="true" hidden="false" outlineLevel="0" max="118" min="118" style="0" width="13.29"/>
    <col collapsed="false" customWidth="true" hidden="false" outlineLevel="0" max="119" min="119" style="0" width="13.02"/>
    <col collapsed="false" customWidth="true" hidden="false" outlineLevel="0" max="120" min="120" style="0" width="13.43"/>
    <col collapsed="false" customWidth="true" hidden="false" outlineLevel="0" max="121" min="121" style="0" width="18.58"/>
    <col collapsed="false" customWidth="true" hidden="false" outlineLevel="0" max="122" min="122" style="0" width="11.14"/>
    <col collapsed="false" customWidth="true" hidden="false" outlineLevel="0" max="123" min="123" style="0" width="16.57"/>
    <col collapsed="false" customWidth="true" hidden="false" outlineLevel="0" max="124" min="124" style="0" width="12.29"/>
    <col collapsed="false" customWidth="true" hidden="false" outlineLevel="0" max="125" min="125" style="0" width="17.4"/>
    <col collapsed="false" customWidth="true" hidden="false" outlineLevel="0" max="126" min="126" style="0" width="16.87"/>
    <col collapsed="false" customWidth="true" hidden="false" outlineLevel="0" max="127" min="127" style="0" width="22.01"/>
    <col collapsed="false" customWidth="true" hidden="false" outlineLevel="0" max="128" min="128" style="0" width="17.4"/>
    <col collapsed="false" customWidth="true" hidden="false" outlineLevel="0" max="129" min="129" style="0" width="22.57"/>
    <col collapsed="false" customWidth="true" hidden="false" outlineLevel="0" max="130" min="130" style="0" width="12.86"/>
    <col collapsed="false" customWidth="true" hidden="false" outlineLevel="0" max="131" min="131" style="0" width="18"/>
    <col collapsed="false" customWidth="true" hidden="false" outlineLevel="0" max="132" min="132" style="0" width="8.71"/>
    <col collapsed="false" customWidth="true" hidden="false" outlineLevel="0" max="133" min="133" style="0" width="10"/>
    <col collapsed="false" customWidth="true" hidden="false" outlineLevel="0" max="135" min="135" style="0" width="15"/>
    <col collapsed="false" customWidth="true" hidden="false" outlineLevel="0" max="136" min="136" style="0" width="10.42"/>
    <col collapsed="false" customWidth="true" hidden="false" outlineLevel="0" max="137" min="137" style="0" width="15.71"/>
    <col collapsed="false" customWidth="true" hidden="false" outlineLevel="0" max="138" min="138" style="0" width="15.29"/>
    <col collapsed="false" customWidth="true" hidden="false" outlineLevel="0" max="139" min="139" style="0" width="17.86"/>
    <col collapsed="false" customWidth="true" hidden="false" outlineLevel="0" max="140" min="140" style="0" width="19.42"/>
    <col collapsed="false" customWidth="true" hidden="false" outlineLevel="0" max="141" min="141" style="0" width="17.13"/>
    <col collapsed="false" customWidth="true" hidden="false" outlineLevel="0" max="142" min="142" style="0" width="16.57"/>
    <col collapsed="false" customWidth="true" hidden="false" outlineLevel="0" max="143" min="143" style="0" width="20.42"/>
    <col collapsed="false" customWidth="true" hidden="false" outlineLevel="0" max="144" min="144" style="0" width="22.01"/>
    <col collapsed="false" customWidth="true" hidden="false" outlineLevel="0" max="145" min="145" style="0" width="19.71"/>
    <col collapsed="false" customWidth="true" hidden="false" outlineLevel="0" max="146" min="146" style="0" width="20.98"/>
    <col collapsed="false" customWidth="true" hidden="false" outlineLevel="0" max="147" min="147" style="0" width="29.29"/>
    <col collapsed="false" customWidth="true" hidden="false" outlineLevel="0" max="148" min="148" style="0" width="30.86"/>
    <col collapsed="false" customWidth="true" hidden="false" outlineLevel="0" max="149" min="149" style="0" width="21.14"/>
    <col collapsed="false" customWidth="true" hidden="false" outlineLevel="0" max="150" min="150" style="0" width="21.57"/>
    <col collapsed="false" customWidth="true" hidden="false" outlineLevel="0" max="151" min="151" style="0" width="30.43"/>
    <col collapsed="false" customWidth="true" hidden="false" outlineLevel="0" max="152" min="152" style="0" width="32"/>
    <col collapsed="false" customWidth="true" hidden="false" outlineLevel="0" max="153" min="153" style="0" width="17.13"/>
    <col collapsed="false" customWidth="true" hidden="false" outlineLevel="0" max="154" min="154" style="0" width="17"/>
    <col collapsed="false" customWidth="true" hidden="false" outlineLevel="0" max="155" min="155" style="0" width="21.29"/>
    <col collapsed="false" customWidth="true" hidden="false" outlineLevel="0" max="156" min="156" style="0" width="22.86"/>
  </cols>
  <sheetData>
    <row r="1" customFormat="false" ht="15.75" hidden="false" customHeight="true" outlineLevel="0" collapsed="false">
      <c r="A1" s="4" t="s">
        <v>131</v>
      </c>
      <c r="B1" s="5"/>
      <c r="C1" s="5"/>
      <c r="D1" s="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7"/>
      <c r="DS1" s="7"/>
      <c r="DT1" s="5"/>
      <c r="DU1" s="5"/>
      <c r="DV1" s="5"/>
      <c r="DW1" s="144"/>
      <c r="DX1" s="8"/>
      <c r="DY1" s="8"/>
      <c r="DZ1" s="8"/>
      <c r="EA1" s="8"/>
      <c r="EB1" s="9" t="s">
        <v>40</v>
      </c>
      <c r="EC1" s="9"/>
      <c r="ED1" s="9"/>
      <c r="EE1" s="9"/>
      <c r="EF1" s="9"/>
      <c r="EG1" s="10" t="s">
        <v>41</v>
      </c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</row>
    <row r="2" customFormat="false" ht="12.75" hidden="false" customHeight="false" outlineLevel="0" collapsed="false">
      <c r="A2" s="11" t="s">
        <v>42</v>
      </c>
      <c r="B2" s="12" t="s">
        <v>44</v>
      </c>
      <c r="C2" s="12"/>
      <c r="D2" s="12"/>
      <c r="E2" s="12"/>
      <c r="F2" s="13" t="s">
        <v>45</v>
      </c>
      <c r="G2" s="13"/>
      <c r="H2" s="13"/>
      <c r="I2" s="13"/>
      <c r="J2" s="14" t="s">
        <v>132</v>
      </c>
      <c r="K2" s="14"/>
      <c r="L2" s="14"/>
      <c r="M2" s="14"/>
      <c r="N2" s="14" t="s">
        <v>46</v>
      </c>
      <c r="O2" s="14"/>
      <c r="P2" s="14"/>
      <c r="Q2" s="14"/>
      <c r="R2" s="14" t="s">
        <v>47</v>
      </c>
      <c r="S2" s="14"/>
      <c r="T2" s="14"/>
      <c r="U2" s="14"/>
      <c r="V2" s="14" t="s">
        <v>48</v>
      </c>
      <c r="W2" s="14"/>
      <c r="X2" s="14"/>
      <c r="Y2" s="14"/>
      <c r="Z2" s="14" t="s">
        <v>133</v>
      </c>
      <c r="AA2" s="14"/>
      <c r="AB2" s="14"/>
      <c r="AC2" s="14"/>
      <c r="AD2" s="14" t="s">
        <v>134</v>
      </c>
      <c r="AE2" s="14"/>
      <c r="AF2" s="14"/>
      <c r="AG2" s="14"/>
      <c r="AH2" s="14" t="s">
        <v>135</v>
      </c>
      <c r="AI2" s="14"/>
      <c r="AJ2" s="14"/>
      <c r="AK2" s="14"/>
      <c r="AL2" s="14" t="s">
        <v>136</v>
      </c>
      <c r="AM2" s="14"/>
      <c r="AN2" s="14"/>
      <c r="AO2" s="14"/>
      <c r="AP2" s="14" t="s">
        <v>137</v>
      </c>
      <c r="AQ2" s="14"/>
      <c r="AR2" s="14"/>
      <c r="AS2" s="14"/>
      <c r="AT2" s="14" t="s">
        <v>138</v>
      </c>
      <c r="AU2" s="14"/>
      <c r="AV2" s="14"/>
      <c r="AW2" s="14"/>
      <c r="AX2" s="14" t="s">
        <v>139</v>
      </c>
      <c r="AY2" s="14"/>
      <c r="AZ2" s="14"/>
      <c r="BA2" s="14"/>
      <c r="BB2" s="15" t="s">
        <v>52</v>
      </c>
      <c r="BC2" s="14" t="s">
        <v>140</v>
      </c>
      <c r="BD2" s="14" t="s">
        <v>54</v>
      </c>
      <c r="BE2" s="14"/>
      <c r="BF2" s="14" t="s">
        <v>55</v>
      </c>
      <c r="BG2" s="14"/>
      <c r="BH2" s="14"/>
      <c r="BI2" s="14"/>
      <c r="BJ2" s="14"/>
      <c r="BK2" s="14"/>
      <c r="BL2" s="16" t="s">
        <v>44</v>
      </c>
      <c r="BM2" s="16"/>
      <c r="BN2" s="16"/>
      <c r="BO2" s="16"/>
      <c r="BP2" s="16"/>
      <c r="BQ2" s="17" t="s">
        <v>45</v>
      </c>
      <c r="BR2" s="17"/>
      <c r="BS2" s="17"/>
      <c r="BT2" s="17"/>
      <c r="BU2" s="17"/>
      <c r="BV2" s="18" t="s">
        <v>132</v>
      </c>
      <c r="BW2" s="18"/>
      <c r="BX2" s="18"/>
      <c r="BY2" s="18"/>
      <c r="BZ2" s="18"/>
      <c r="CA2" s="18" t="s">
        <v>46</v>
      </c>
      <c r="CB2" s="18"/>
      <c r="CC2" s="18"/>
      <c r="CD2" s="18"/>
      <c r="CE2" s="18"/>
      <c r="CF2" s="18" t="s">
        <v>47</v>
      </c>
      <c r="CG2" s="18"/>
      <c r="CH2" s="18"/>
      <c r="CI2" s="18"/>
      <c r="CJ2" s="18"/>
      <c r="CK2" s="18" t="s">
        <v>48</v>
      </c>
      <c r="CL2" s="18"/>
      <c r="CM2" s="18"/>
      <c r="CN2" s="18"/>
      <c r="CO2" s="18"/>
      <c r="CP2" s="18" t="s">
        <v>133</v>
      </c>
      <c r="CQ2" s="18"/>
      <c r="CR2" s="18"/>
      <c r="CS2" s="18"/>
      <c r="CT2" s="18" t="s">
        <v>134</v>
      </c>
      <c r="CU2" s="18"/>
      <c r="CV2" s="18"/>
      <c r="CW2" s="18"/>
      <c r="CX2" s="18" t="s">
        <v>135</v>
      </c>
      <c r="CY2" s="18"/>
      <c r="CZ2" s="18"/>
      <c r="DA2" s="18"/>
      <c r="DB2" s="18" t="s">
        <v>136</v>
      </c>
      <c r="DC2" s="18"/>
      <c r="DD2" s="18"/>
      <c r="DE2" s="18"/>
      <c r="DF2" s="18" t="s">
        <v>137</v>
      </c>
      <c r="DG2" s="18"/>
      <c r="DH2" s="18"/>
      <c r="DI2" s="18"/>
      <c r="DJ2" s="18" t="s">
        <v>138</v>
      </c>
      <c r="DK2" s="18"/>
      <c r="DL2" s="18"/>
      <c r="DM2" s="18"/>
      <c r="DN2" s="18" t="s">
        <v>139</v>
      </c>
      <c r="DO2" s="18"/>
      <c r="DP2" s="18"/>
      <c r="DQ2" s="18"/>
      <c r="DR2" s="16" t="s">
        <v>52</v>
      </c>
      <c r="DS2" s="16" t="s">
        <v>53</v>
      </c>
      <c r="DT2" s="18" t="s">
        <v>54</v>
      </c>
      <c r="DU2" s="18"/>
      <c r="DV2" s="19" t="s">
        <v>55</v>
      </c>
      <c r="DW2" s="19"/>
      <c r="DX2" s="19"/>
      <c r="DY2" s="19"/>
      <c r="DZ2" s="19"/>
      <c r="EA2" s="19"/>
      <c r="EB2" s="20" t="s">
        <v>56</v>
      </c>
      <c r="EC2" s="20"/>
      <c r="ED2" s="20"/>
      <c r="EE2" s="20"/>
      <c r="EF2" s="20"/>
      <c r="EG2" s="21" t="s">
        <v>57</v>
      </c>
      <c r="EH2" s="21"/>
      <c r="EI2" s="21"/>
      <c r="EJ2" s="21"/>
      <c r="EK2" s="21" t="s">
        <v>58</v>
      </c>
      <c r="EL2" s="21"/>
      <c r="EM2" s="21"/>
      <c r="EN2" s="21"/>
      <c r="EO2" s="21" t="s">
        <v>59</v>
      </c>
      <c r="EP2" s="21"/>
      <c r="EQ2" s="21"/>
      <c r="ER2" s="21"/>
      <c r="ES2" s="21" t="s">
        <v>60</v>
      </c>
      <c r="ET2" s="21"/>
      <c r="EU2" s="21"/>
      <c r="EV2" s="21"/>
      <c r="EW2" s="21" t="s">
        <v>61</v>
      </c>
      <c r="EX2" s="21"/>
      <c r="EY2" s="21"/>
      <c r="EZ2" s="21"/>
    </row>
    <row r="3" customFormat="false" ht="12.75" hidden="false" customHeight="false" outlineLevel="0" collapsed="false">
      <c r="A3" s="22" t="s">
        <v>62</v>
      </c>
      <c r="B3" s="23" t="s">
        <v>63</v>
      </c>
      <c r="C3" s="23" t="s">
        <v>64</v>
      </c>
      <c r="D3" s="23" t="s">
        <v>65</v>
      </c>
      <c r="E3" s="24" t="s">
        <v>66</v>
      </c>
      <c r="F3" s="23" t="s">
        <v>63</v>
      </c>
      <c r="G3" s="23" t="s">
        <v>64</v>
      </c>
      <c r="H3" s="23" t="s">
        <v>65</v>
      </c>
      <c r="I3" s="24" t="s">
        <v>66</v>
      </c>
      <c r="J3" s="23" t="s">
        <v>63</v>
      </c>
      <c r="K3" s="23" t="s">
        <v>64</v>
      </c>
      <c r="L3" s="23" t="s">
        <v>65</v>
      </c>
      <c r="M3" s="24" t="s">
        <v>66</v>
      </c>
      <c r="N3" s="23" t="s">
        <v>63</v>
      </c>
      <c r="O3" s="23" t="s">
        <v>64</v>
      </c>
      <c r="P3" s="23" t="s">
        <v>65</v>
      </c>
      <c r="Q3" s="24" t="s">
        <v>66</v>
      </c>
      <c r="R3" s="23" t="s">
        <v>63</v>
      </c>
      <c r="S3" s="23" t="s">
        <v>64</v>
      </c>
      <c r="T3" s="23" t="s">
        <v>65</v>
      </c>
      <c r="U3" s="24" t="s">
        <v>66</v>
      </c>
      <c r="V3" s="23" t="s">
        <v>63</v>
      </c>
      <c r="W3" s="23" t="s">
        <v>64</v>
      </c>
      <c r="X3" s="23" t="s">
        <v>65</v>
      </c>
      <c r="Y3" s="24" t="s">
        <v>66</v>
      </c>
      <c r="Z3" s="23" t="s">
        <v>63</v>
      </c>
      <c r="AA3" s="23" t="s">
        <v>67</v>
      </c>
      <c r="AB3" s="23" t="s">
        <v>65</v>
      </c>
      <c r="AC3" s="24" t="s">
        <v>66</v>
      </c>
      <c r="AD3" s="23" t="s">
        <v>63</v>
      </c>
      <c r="AE3" s="23" t="s">
        <v>67</v>
      </c>
      <c r="AF3" s="23" t="s">
        <v>65</v>
      </c>
      <c r="AG3" s="24" t="s">
        <v>66</v>
      </c>
      <c r="AH3" s="23" t="s">
        <v>63</v>
      </c>
      <c r="AI3" s="23" t="s">
        <v>67</v>
      </c>
      <c r="AJ3" s="23" t="s">
        <v>65</v>
      </c>
      <c r="AK3" s="24" t="s">
        <v>66</v>
      </c>
      <c r="AL3" s="23" t="s">
        <v>63</v>
      </c>
      <c r="AM3" s="23" t="s">
        <v>67</v>
      </c>
      <c r="AN3" s="23" t="s">
        <v>65</v>
      </c>
      <c r="AO3" s="24" t="s">
        <v>66</v>
      </c>
      <c r="AP3" s="23" t="s">
        <v>63</v>
      </c>
      <c r="AQ3" s="23" t="s">
        <v>67</v>
      </c>
      <c r="AR3" s="23" t="s">
        <v>65</v>
      </c>
      <c r="AS3" s="24" t="s">
        <v>66</v>
      </c>
      <c r="AT3" s="23" t="s">
        <v>63</v>
      </c>
      <c r="AU3" s="23" t="s">
        <v>67</v>
      </c>
      <c r="AV3" s="23" t="s">
        <v>65</v>
      </c>
      <c r="AW3" s="24" t="s">
        <v>66</v>
      </c>
      <c r="AX3" s="23" t="s">
        <v>63</v>
      </c>
      <c r="AY3" s="23" t="s">
        <v>67</v>
      </c>
      <c r="AZ3" s="23" t="s">
        <v>65</v>
      </c>
      <c r="BA3" s="24" t="s">
        <v>66</v>
      </c>
      <c r="BB3" s="25" t="s">
        <v>68</v>
      </c>
      <c r="BC3" s="26" t="s">
        <v>69</v>
      </c>
      <c r="BD3" s="26" t="s">
        <v>70</v>
      </c>
      <c r="BE3" s="27" t="s">
        <v>71</v>
      </c>
      <c r="BF3" s="26" t="s">
        <v>72</v>
      </c>
      <c r="BG3" s="27" t="s">
        <v>141</v>
      </c>
      <c r="BH3" s="23" t="s">
        <v>73</v>
      </c>
      <c r="BI3" s="27" t="s">
        <v>74</v>
      </c>
      <c r="BJ3" s="23" t="s">
        <v>75</v>
      </c>
      <c r="BK3" s="24" t="s">
        <v>76</v>
      </c>
      <c r="BL3" s="28" t="s">
        <v>77</v>
      </c>
      <c r="BM3" s="28" t="s">
        <v>78</v>
      </c>
      <c r="BN3" s="28" t="s">
        <v>79</v>
      </c>
      <c r="BO3" s="28" t="s">
        <v>80</v>
      </c>
      <c r="BP3" s="29" t="s">
        <v>81</v>
      </c>
      <c r="BQ3" s="28" t="s">
        <v>77</v>
      </c>
      <c r="BR3" s="28" t="s">
        <v>78</v>
      </c>
      <c r="BS3" s="28" t="s">
        <v>79</v>
      </c>
      <c r="BT3" s="28" t="s">
        <v>80</v>
      </c>
      <c r="BU3" s="29" t="s">
        <v>81</v>
      </c>
      <c r="BV3" s="28" t="s">
        <v>77</v>
      </c>
      <c r="BW3" s="28" t="s">
        <v>78</v>
      </c>
      <c r="BX3" s="28" t="s">
        <v>79</v>
      </c>
      <c r="BY3" s="28" t="s">
        <v>80</v>
      </c>
      <c r="BZ3" s="29" t="s">
        <v>81</v>
      </c>
      <c r="CA3" s="28" t="s">
        <v>77</v>
      </c>
      <c r="CB3" s="28" t="s">
        <v>78</v>
      </c>
      <c r="CC3" s="28" t="s">
        <v>79</v>
      </c>
      <c r="CD3" s="28" t="s">
        <v>80</v>
      </c>
      <c r="CE3" s="29" t="s">
        <v>81</v>
      </c>
      <c r="CF3" s="28" t="s">
        <v>77</v>
      </c>
      <c r="CG3" s="28" t="s">
        <v>78</v>
      </c>
      <c r="CH3" s="28" t="s">
        <v>79</v>
      </c>
      <c r="CI3" s="28" t="s">
        <v>80</v>
      </c>
      <c r="CJ3" s="29" t="s">
        <v>81</v>
      </c>
      <c r="CK3" s="28" t="s">
        <v>77</v>
      </c>
      <c r="CL3" s="28" t="s">
        <v>78</v>
      </c>
      <c r="CM3" s="28" t="s">
        <v>79</v>
      </c>
      <c r="CN3" s="28" t="s">
        <v>80</v>
      </c>
      <c r="CO3" s="29" t="s">
        <v>81</v>
      </c>
      <c r="CP3" s="28" t="s">
        <v>77</v>
      </c>
      <c r="CQ3" s="28" t="s">
        <v>82</v>
      </c>
      <c r="CR3" s="28" t="s">
        <v>80</v>
      </c>
      <c r="CS3" s="29" t="s">
        <v>81</v>
      </c>
      <c r="CT3" s="28" t="s">
        <v>77</v>
      </c>
      <c r="CU3" s="28" t="s">
        <v>82</v>
      </c>
      <c r="CV3" s="28" t="s">
        <v>80</v>
      </c>
      <c r="CW3" s="29" t="s">
        <v>81</v>
      </c>
      <c r="CX3" s="28" t="s">
        <v>77</v>
      </c>
      <c r="CY3" s="28" t="s">
        <v>82</v>
      </c>
      <c r="CZ3" s="28" t="s">
        <v>80</v>
      </c>
      <c r="DA3" s="29" t="s">
        <v>81</v>
      </c>
      <c r="DB3" s="28" t="s">
        <v>77</v>
      </c>
      <c r="DC3" s="28" t="s">
        <v>82</v>
      </c>
      <c r="DD3" s="28" t="s">
        <v>80</v>
      </c>
      <c r="DE3" s="29" t="s">
        <v>81</v>
      </c>
      <c r="DF3" s="28" t="s">
        <v>77</v>
      </c>
      <c r="DG3" s="28" t="s">
        <v>82</v>
      </c>
      <c r="DH3" s="28" t="s">
        <v>80</v>
      </c>
      <c r="DI3" s="29" t="s">
        <v>81</v>
      </c>
      <c r="DJ3" s="28" t="s">
        <v>77</v>
      </c>
      <c r="DK3" s="28" t="s">
        <v>82</v>
      </c>
      <c r="DL3" s="28" t="s">
        <v>80</v>
      </c>
      <c r="DM3" s="29" t="s">
        <v>81</v>
      </c>
      <c r="DN3" s="28" t="s">
        <v>77</v>
      </c>
      <c r="DO3" s="28" t="s">
        <v>82</v>
      </c>
      <c r="DP3" s="28" t="s">
        <v>80</v>
      </c>
      <c r="DQ3" s="29" t="s">
        <v>81</v>
      </c>
      <c r="DR3" s="30" t="s">
        <v>83</v>
      </c>
      <c r="DS3" s="30" t="s">
        <v>84</v>
      </c>
      <c r="DT3" s="31" t="s">
        <v>85</v>
      </c>
      <c r="DU3" s="29" t="s">
        <v>86</v>
      </c>
      <c r="DV3" s="28" t="s">
        <v>87</v>
      </c>
      <c r="DW3" s="32" t="s">
        <v>142</v>
      </c>
      <c r="DX3" s="28" t="s">
        <v>88</v>
      </c>
      <c r="DY3" s="32" t="s">
        <v>89</v>
      </c>
      <c r="DZ3" s="28" t="s">
        <v>90</v>
      </c>
      <c r="EA3" s="32" t="s">
        <v>91</v>
      </c>
      <c r="EB3" s="33" t="s">
        <v>68</v>
      </c>
      <c r="EC3" s="34" t="s">
        <v>69</v>
      </c>
      <c r="ED3" s="34" t="s">
        <v>72</v>
      </c>
      <c r="EE3" s="34" t="s">
        <v>73</v>
      </c>
      <c r="EF3" s="34" t="s">
        <v>75</v>
      </c>
      <c r="EG3" s="35" t="s">
        <v>92</v>
      </c>
      <c r="EH3" s="36" t="s">
        <v>93</v>
      </c>
      <c r="EI3" s="36" t="s">
        <v>94</v>
      </c>
      <c r="EJ3" s="36" t="s">
        <v>95</v>
      </c>
      <c r="EK3" s="35" t="s">
        <v>96</v>
      </c>
      <c r="EL3" s="36" t="s">
        <v>97</v>
      </c>
      <c r="EM3" s="36" t="s">
        <v>98</v>
      </c>
      <c r="EN3" s="36" t="s">
        <v>99</v>
      </c>
      <c r="EO3" s="35" t="s">
        <v>100</v>
      </c>
      <c r="EP3" s="36" t="s">
        <v>101</v>
      </c>
      <c r="EQ3" s="36" t="s">
        <v>102</v>
      </c>
      <c r="ER3" s="36" t="s">
        <v>103</v>
      </c>
      <c r="ES3" s="35" t="s">
        <v>104</v>
      </c>
      <c r="ET3" s="36" t="s">
        <v>105</v>
      </c>
      <c r="EU3" s="36" t="s">
        <v>106</v>
      </c>
      <c r="EV3" s="36" t="s">
        <v>107</v>
      </c>
      <c r="EW3" s="35" t="s">
        <v>108</v>
      </c>
      <c r="EX3" s="36" t="s">
        <v>109</v>
      </c>
      <c r="EY3" s="36" t="s">
        <v>110</v>
      </c>
      <c r="EZ3" s="36" t="s">
        <v>111</v>
      </c>
    </row>
    <row r="4" customFormat="false" ht="12.75" hidden="false" customHeight="false" outlineLevel="0" collapsed="false">
      <c r="A4" s="37" t="n">
        <v>5.1</v>
      </c>
      <c r="B4" s="38" t="n">
        <f aca="false">IFERROR(__xludf.dummyfunction("FILTER(FILTER('Data Scenarios 5-6'!$A$2:$CE$105,'Data Scenarios 5-6'!$A$1:$CE$1=""V_LAPTOP_4_OUTPUT""),'Data Scenarios 5-6'!$B$2:$B$105=$A4,'Data Scenarios 5-6'!$C$2:$C$105=""All"",'Data Scenarios 5-6'!$D$2:$D$105=""Mean"")"),18.8606137805555)</f>
        <v>18.8606137805555</v>
      </c>
      <c r="C4" s="3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5-6'!$D$2:$D$105=""Mean"")"),0.00663351875954905)</f>
        <v>0.00663351875954905</v>
      </c>
      <c r="D4" s="65" t="n">
        <f aca="false">IFERROR(__xludf.dummyfunction("FILTER(FILTER('Data Scenarios 5-6'!$A$2:$CE$105,'Data Scenarios 5-6'!$A$1:$CE$1=""P_LAPTOP_4_OUTPUT""),'Data Scenarios 5-6'!$B$2:$B$105=$A4,'Data Scenarios 5-6'!$C$2:$C$105=""All"",'Data Scenarios 5-6'!$D$2:$D$105=""Mean"")"),0.125113069637807)</f>
        <v>0.125113069637807</v>
      </c>
      <c r="E4" s="39" t="n">
        <v>0</v>
      </c>
      <c r="F4" s="38" t="n">
        <f aca="false">IFERROR(__xludf.dummyfunction("FILTER(FILTER('Data Scenarios 5-6'!$A$2:$CE$105,'Data Scenarios 5-6'!$A$1:$CE$1=""V_LAPTOP_5_OUTPUT""),'Data Scenarios 5-6'!$B$2:$B$105=$A4,'Data Scenarios 5-6'!$C$2:$C$105=""All"",'Data Scenarios 5-6'!$D$2:$D$105=""Mean"")"),18.7622860694444)</f>
        <v>18.7622860694444</v>
      </c>
      <c r="G4" s="38" t="n">
        <f aca="false">IFERROR(__xludf.dummyfunction("FILTER(FILTER('Data Scenarios 5-6'!$A$2:$CE$105,'Data Scenarios 5-6'!$A$1:$CE$1=""I_LAPTOP_5_OUTPUT""),'Data Scenarios 5-6'!$B$2:$B$105=$A4,'Data Scenarios 5-6'!$C$2:$C$105=""All"",'Data Scenarios 5-6'!$D$2:$D$105=""Mean"")"),0.00714690558981382)</f>
        <v>0.00714690558981382</v>
      </c>
      <c r="H4" s="65" t="n">
        <f aca="false">IFERROR(__xludf.dummyfunction("FILTER(FILTER('Data Scenarios 5-6'!$A$2:$CE$105,'Data Scenarios 5-6'!$A$1:$CE$1=""P_LAPTOP_5_OUTPUT""),'Data Scenarios 5-6'!$B$2:$B$105=$A4,'Data Scenarios 5-6'!$C$2:$C$105=""All"",'Data Scenarios 5-6'!$D$2:$D$105=""Mean"")"),0.134092618419161)</f>
        <v>0.134092618419161</v>
      </c>
      <c r="I4" s="39" t="n">
        <v>0</v>
      </c>
      <c r="J4" s="38" t="n">
        <f aca="false">IFERROR(__xludf.dummyfunction("FILTER(FILTER('Data Scenarios 5-6'!$A$2:$CE$105,'Data Scenarios 5-6'!$A$1:$CE$1=""V_LAPTOP_6_OUTPUT""),'Data Scenarios 5-6'!$B$2:$B$105=$A4,'Data Scenarios 5-6'!$C$2:$C$105=""All"",'Data Scenarios 5-6'!$D$2:$D$105=""Mean"")"),18.8401181111111)</f>
        <v>18.8401181111111</v>
      </c>
      <c r="K4" s="38" t="n">
        <f aca="false">IFERROR(__xludf.dummyfunction("FILTER(FILTER('Data Scenarios 5-6'!$A$2:$CE$105,'Data Scenarios 5-6'!$A$1:$CE$1=""I_LAPTOP_6_OUTPUT""),'Data Scenarios 5-6'!$B$2:$B$105=$A4,'Data Scenarios 5-6'!$C$2:$C$105=""All"",'Data Scenarios 5-6'!$D$2:$D$105=""Mean"")"),0.0125947510156155)</f>
        <v>0.0125947510156155</v>
      </c>
      <c r="L4" s="65" t="n">
        <f aca="false">IFERROR(__xludf.dummyfunction("FILTER(FILTER('Data Scenarios 5-6'!$A$2:$CE$105,'Data Scenarios 5-6'!$A$1:$CE$1=""P_LAPTOP_6_OUTPUT""),'Data Scenarios 5-6'!$B$2:$B$105=$A4,'Data Scenarios 5-6'!$C$2:$C$105=""All"",'Data Scenarios 5-6'!$D$2:$D$105=""Mean"")"),0.237286439749953)</f>
        <v>0.237286439749953</v>
      </c>
      <c r="M4" s="39" t="n">
        <v>0</v>
      </c>
      <c r="N4" s="38" t="n">
        <f aca="false">IFERROR(__xludf.dummyfunction("FILTER(FILTER('Data Scenarios 5-6'!$A$2:$CE$105,'Data Scenarios 5-6'!$A$1:$CE$1=""V_LED_1""),'Data Scenarios 5-6'!$B$2:$B$105=$A4,'Data Scenarios 5-6'!$C$2:$C$105=""All"",'Data Scenarios 5-6'!$D$2:$D$105=""Mean"")"),0.248371075)</f>
        <v>0.248371075</v>
      </c>
      <c r="O4" s="38" t="n">
        <f aca="false">IFERROR(__xludf.dummyfunction("FILTER(FILTER('Data Scenarios 5-6'!$A$2:$CE$105,'Data Scenarios 5-6'!$A$1:$CE$1=""I_LED_1""),'Data Scenarios 5-6'!$B$2:$B$105=$A4,'Data Scenarios 5-6'!$C$2:$C$105=""All"",'Data Scenarios 5-6'!$D$2:$D$105=""Mean"")"),0)</f>
        <v>0</v>
      </c>
      <c r="P4" s="65" t="n">
        <f aca="false">IFERROR(__xludf.dummyfunction("FILTER(FILTER('Data Scenarios 5-6'!$A$2:$CE$105,'Data Scenarios 5-6'!$A$1:$CE$1=""P_LED_1""),'Data Scenarios 5-6'!$B$2:$B$105=$A4,'Data Scenarios 5-6'!$C$2:$C$105=""All"",'Data Scenarios 5-6'!$D$2:$D$105=""Mean"")"),0.0000030672700325)</f>
        <v>3.0672700325E-006</v>
      </c>
      <c r="Q4" s="68" t="n">
        <f aca="false">N4*O4</f>
        <v>0</v>
      </c>
      <c r="R4" s="38" t="n">
        <f aca="false">IFERROR(__xludf.dummyfunction("FILTER(FILTER('Data Scenarios 5-6'!$A$2:$CE$105,'Data Scenarios 5-6'!$A$1:$CE$1=""V_LED_2""),'Data Scenarios 5-6'!$B$2:$B$105=$A4,'Data Scenarios 5-6'!$C$2:$C$105=""All"",'Data Scenarios 5-6'!$D$2:$D$105=""Mean"")"),0.170693229166666)</f>
        <v>0.170693229166666</v>
      </c>
      <c r="S4" s="38" t="n">
        <f aca="false">IFERROR(__xludf.dummyfunction("FILTER(FILTER('Data Scenarios 5-6'!$A$2:$CE$105,'Data Scenarios 5-6'!$A$1:$CE$1=""I_LED_2""),'Data Scenarios 5-6'!$B$2:$B$105=$A4,'Data Scenarios 5-6'!$C$2:$C$105=""All"",'Data Scenarios 5-6'!$D$2:$D$105=""Mean"")"),0)</f>
        <v>0</v>
      </c>
      <c r="T4" s="65" t="n">
        <f aca="false">IFERROR(__xludf.dummyfunction("FILTER(FILTER('Data Scenarios 5-6'!$A$2:$CE$105,'Data Scenarios 5-6'!$A$1:$CE$1=""P_LED_2""),'Data Scenarios 5-6'!$B$2:$B$105=$A4,'Data Scenarios 5-6'!$C$2:$C$105=""All"",'Data Scenarios 5-6'!$D$2:$D$105=""Mean"")"),0.000000633290196461111)</f>
        <v>6.33290196461111E-007</v>
      </c>
      <c r="U4" s="68" t="n">
        <f aca="false">R4*S4</f>
        <v>0</v>
      </c>
      <c r="V4" s="38" t="n">
        <f aca="false">IFERROR(__xludf.dummyfunction("FILTER(FILTER('Data Scenarios 5-6'!$A$2:$CE$105,'Data Scenarios 5-6'!$A$1:$CE$1=""V_LED_3""),'Data Scenarios 5-6'!$B$2:$B$105=$A4,'Data Scenarios 5-6'!$C$2:$C$105=""All"",'Data Scenarios 5-6'!$D$2:$D$105=""Mean"")"),0.2211270625)</f>
        <v>0.2211270625</v>
      </c>
      <c r="W4" s="38" t="n">
        <f aca="false">IFERROR(__xludf.dummyfunction("FILTER(FILTER('Data Scenarios 5-6'!$A$2:$CE$105,'Data Scenarios 5-6'!$A$1:$CE$1=""I_LED_3""),'Data Scenarios 5-6'!$B$2:$B$105=$A4,'Data Scenarios 5-6'!$C$2:$C$105=""All"",'Data Scenarios 5-6'!$D$2:$D$105=""Mean"")"),0)</f>
        <v>0</v>
      </c>
      <c r="X4" s="65" t="n">
        <f aca="false">IFERROR(__xludf.dummyfunction("FILTER(FILTER('Data Scenarios 5-6'!$A$2:$CE$105,'Data Scenarios 5-6'!$A$1:$CE$1=""P_LED_3""),'Data Scenarios 5-6'!$B$2:$B$105=$A4,'Data Scenarios 5-6'!$C$2:$C$105=""All"",'Data Scenarios 5-6'!$D$2:$D$105=""Mean"")"),-0.00000858856066666666)</f>
        <v>-8.58856066666666E-006</v>
      </c>
      <c r="Y4" s="68" t="n">
        <f aca="false">V4*W4</f>
        <v>0</v>
      </c>
      <c r="Z4" s="38" t="n">
        <f aca="false">IFERROR(__xludf.dummyfunction("FILTER(FILTER('Data Scenarios 5-6'!$A$2:$CE$105,'Data Scenarios 5-6'!$A$1:$CE$1=""V_RESISTOR_1A""),'Data Scenarios 5-6'!$B$2:$B$105=$A4,'Data Scenarios 5-6'!$C$2:$C$105=""All"",'Data Scenarios 5-6'!$D$2:$D$105=""Mean"")"),0.00000190415277777777)</f>
        <v>1.90415277777777E-006</v>
      </c>
      <c r="AA4" s="40"/>
      <c r="AB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5-6'!$D$2:$D$105=""Mean"")"),4.23962020679012E-031)</f>
        <v>4.23962020679012E-031</v>
      </c>
      <c r="AC4" s="42" t="n">
        <v>0</v>
      </c>
      <c r="AD4" s="38" t="n">
        <f aca="false">IFERROR(__xludf.dummyfunction("FILTER(FILTER('Data Scenarios 5-6'!$A$2:$CE$105,'Data Scenarios 5-6'!$A$1:$CE$1=""V_RESISTOR_1B""),'Data Scenarios 5-6'!$B$2:$B$105=$A4,'Data Scenarios 5-6'!$C$2:$C$105=""All"",'Data Scenarios 5-6'!$D$2:$D$105=""Mean"")"),0.000001414425)</f>
        <v>1.414425E-006</v>
      </c>
      <c r="AE4" s="40"/>
      <c r="AF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5-6'!$D$2:$D$105=""Mean"")"),2.41903031172839E-031)</f>
        <v>2.41903031172839E-031</v>
      </c>
      <c r="AG4" s="42" t="n">
        <v>0</v>
      </c>
      <c r="AH4" s="38" t="n">
        <f aca="false">IFERROR(__xludf.dummyfunction("FILTER(FILTER('Data Scenarios 5-6'!$A$2:$CE$105,'Data Scenarios 5-6'!$A$1:$CE$1=""V_RESISTOR_1C""),'Data Scenarios 5-6'!$B$2:$B$105=$A4,'Data Scenarios 5-6'!$C$2:$C$105=""All"",'Data Scenarios 5-6'!$D$2:$D$105=""Mean"")"),0.000000794522222222222)</f>
        <v>7.94522222222222E-007</v>
      </c>
      <c r="AI4" s="40"/>
      <c r="AJ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5-6'!$D$2:$D$105=""Mean"")"),9.04418191358024E-032)</f>
        <v>9.04418191358024E-032</v>
      </c>
      <c r="AK4" s="42" t="n">
        <v>0</v>
      </c>
      <c r="AL4" s="38" t="n">
        <f aca="false">IFERROR(__xludf.dummyfunction("FILTER(FILTER('Data Scenarios 5-6'!$A$2:$CE$105,'Data Scenarios 5-6'!$A$1:$CE$1=""V_RESISTOR_1D""),'Data Scenarios 5-6'!$B$2:$B$105=$A4,'Data Scenarios 5-6'!$C$2:$C$105=""All"",'Data Scenarios 5-6'!$D$2:$D$105=""Mean"")"),0.000000586655555555555)</f>
        <v>5.86655555555555E-007</v>
      </c>
      <c r="AM4" s="40"/>
      <c r="AN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5-6'!$D$2:$D$105=""Mean"")"),5.83417598765432E-032)</f>
        <v>5.83417598765432E-032</v>
      </c>
      <c r="AO4" s="42" t="n">
        <v>0</v>
      </c>
      <c r="AP4" s="38" t="n">
        <f aca="false">IFERROR(__xludf.dummyfunction("FILTER(FILTER('Data Scenarios 5-6'!$A$2:$CE$105,'Data Scenarios 5-6'!$A$1:$CE$1=""V_RESISTOR_1E""),'Data Scenarios 5-6'!$B$2:$B$105=$A4,'Data Scenarios 5-6'!$C$2:$C$105=""All"",'Data Scenarios 5-6'!$D$2:$D$105=""Mean"")"),0.00000216466111111111)</f>
        <v>2.16466111111111E-006</v>
      </c>
      <c r="AQ4" s="40"/>
      <c r="AR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5-6'!$D$2:$D$105=""Mean"")"),5.43615272839506E-031)</f>
        <v>5.43615272839506E-031</v>
      </c>
      <c r="AS4" s="42" t="n">
        <v>0</v>
      </c>
      <c r="AT4" s="38" t="n">
        <f aca="false">IFERROR(__xludf.dummyfunction("FILTER(FILTER('Data Scenarios 5-6'!$A$2:$CE$105,'Data Scenarios 5-6'!$A$1:$CE$1=""V_RESISTOR_1F""),'Data Scenarios 5-6'!$B$2:$B$105=$A4,'Data Scenarios 5-6'!$C$2:$C$105=""All"",'Data Scenarios 5-6'!$D$2:$D$105=""Mean"")"),0.000000545422222222222)</f>
        <v>5.45422222222222E-007</v>
      </c>
      <c r="AU4" s="40"/>
      <c r="AV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5-6'!$D$2:$D$105=""Mean"")"),5.4093574074074E-032)</f>
        <v>5.4093574074074E-032</v>
      </c>
      <c r="AW4" s="42" t="n">
        <v>0</v>
      </c>
      <c r="AX4" s="38" t="n">
        <f aca="false">IFERROR(__xludf.dummyfunction("FILTER(FILTER('Data Scenarios 5-6'!$A$2:$CE$105,'Data Scenarios 5-6'!$A$1:$CE$1=""V_RESISTOR_1G""),'Data Scenarios 5-6'!$B$2:$B$105=$A4,'Data Scenarios 5-6'!$C$2:$C$105=""All"",'Data Scenarios 5-6'!$D$2:$D$105=""Mean"")"),0.000000339758333333333)</f>
        <v>3.39758333333333E-007</v>
      </c>
      <c r="AY4" s="40"/>
      <c r="AZ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5-6'!$D$2:$D$105=""Mean"")"),3.6472674382716E-032)</f>
        <v>3.6472674382716E-032</v>
      </c>
      <c r="BA4" s="42" t="n">
        <v>0</v>
      </c>
      <c r="BB4" s="44" t="n">
        <f aca="false">IFERROR(__xludf.dummyfunction("FILTER(FILTER('Data Scenarios 5-6'!$A$2:$CE$105,'Data Scenarios 5-6'!$A$1:$CE$1=""P_In""),'Data Scenarios 5-6'!$B$2:$B$105=$A4,'Data Scenarios 5-6'!$C$2:$C$105=""All"",'Data Scenarios 5-6'!$D$2:$D$105=""Mean"")"),72.39108175)</f>
        <v>72.39108175</v>
      </c>
      <c r="BC4" s="44" t="n">
        <f aca="false">IFERROR(__xludf.dummyfunction("FILTER(FILTER('Data Scenarios 5-6'!$A$2:$CE$105,'Data Scenarios 5-6'!$A$1:$CE$1=""P_Secondary""),'Data Scenarios 5-6'!$B$2:$B$105=$A4,'Data Scenarios 5-6'!$C$2:$C$105=""All"",'Data Scenarios 5-6'!$D$2:$D$105=""Mean"")"),19.8385838055555)</f>
        <v>19.8385838055555</v>
      </c>
      <c r="BD4" s="45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BE4" s="46" t="n">
        <f aca="false">E4+I4+M4+Q4+U4+Y4+AC4+AG4+AK4+AO4+AS4+AW4+BA4</f>
        <v>0</v>
      </c>
      <c r="BF4" s="45" t="n">
        <f aca="false">IFERROR(__xludf.dummyfunction("FILTER(FILTER('Data Scenarios 5-6'!$A$2:$CE$105,'Data Scenarios 5-6'!$A$1:$CE$1=""P_TransformerLoss""),'Data Scenarios 5-6'!$B$2:$B$105=$A4,'Data Scenarios 5-6'!$C$2:$C$105=""All"",'Data Scenarios 5-6'!$D$2:$D$105=""Mean"")"),52.5524979444444)</f>
        <v>52.5524979444444</v>
      </c>
      <c r="BG4" s="46" t="n">
        <f aca="false">BB4-BC4</f>
        <v>52.5524979444445</v>
      </c>
      <c r="BH4" s="41" t="n">
        <f aca="false">IFERROR(__xludf.dummyfunction("FILTER(FILTER('Data Scenarios 5-6'!$A$2:$CE$105,'Data Scenarios 5-6'!$A$1:$CE$1=""P_ConverterLoss""),'Data Scenarios 5-6'!$B$2:$B$105=$A4,'Data Scenarios 5-6'!$C$2:$C$105=""All"",'Data Scenarios 5-6'!$D$2:$D$105=""Mean"")"),19.342096565749)</f>
        <v>19.342096565749</v>
      </c>
      <c r="BI4" s="46" t="n">
        <f aca="false">BC4-BE4</f>
        <v>19.8385838055555</v>
      </c>
      <c r="BJ4" s="41" t="n">
        <f aca="false">IFERROR(__xludf.dummyfunction("FILTER(FILTER('Data Scenarios 5-6'!$A$2:$CE$105,'Data Scenarios 5-6'!$A$1:$CE$1=""P_SystemLoss""),'Data Scenarios 5-6'!$B$2:$B$105=$A4,'Data Scenarios 5-6'!$C$2:$C$105=""All"",'Data Scenarios 5-6'!$D$2:$D$105=""Mean"")"),71.8945945101935)</f>
        <v>71.8945945101935</v>
      </c>
      <c r="BK4" s="46" t="n">
        <f aca="false">BB4-BE4</f>
        <v>72.39108175</v>
      </c>
      <c r="BL4" s="47" t="n">
        <f aca="false">IFERROR(__xludf.dummyfunction("FILTER(FILTER('Data Scenarios 5-6'!$A$2:$CE$105,'Data Scenarios 5-6'!$A$1:$CE$1=""V_LAPTOP_4_OUTPUT""),'Data Scenarios 5-6'!$B$2:$B$105=$A4,'Data Scenarios 5-6'!$C$2:$C$105=""All"",'Data Scenarios 5-6'!$D$2:$D$105=""Standard Deviation"")"),0.00546018216121355)</f>
        <v>0.00546018216121355</v>
      </c>
      <c r="BM4" s="48" t="n">
        <f aca="false">IFERROR(__xludf.dummyfunction("FILTER(FILTER('Data Scenarios 5-6'!$A$2:$CE$105,'Data Scenarios 5-6'!$A$1:$CE$1=""I_LAPTOP_4_OUTPUT""),'Data Scenarios 5-6'!$B$2:$B$105=$A4,'Data Scenarios 5-6'!$C$2:$C$105=""All"",'Data Scenarios 5-6'!$D$2:$D$105=""Standard Deviation"")"),0.000224439145932229)</f>
        <v>0.000224439145932229</v>
      </c>
      <c r="BN4" s="145" t="n">
        <f aca="false">IFERROR(__xludf.dummyfunction("FILTER(FILTER('Data Scenarios 5-6'!$A$2:$CE$105,'Data Scenarios 5-6'!$A$1:$CE$1=""V_LAPTOP_4_OUTPUT * I_LAPTOP_4_OUTPUT""),'Data Scenarios 5-6'!$B$2:$B$105=$A4,'Data Scenarios 5-6'!$C$2:$C$105=""All"",'Data Scenarios 5-6'!$D$2:$D$105=""Covariance"")"),-0.0000000000421955935596343)</f>
        <v>-4.21955935596343E-011</v>
      </c>
      <c r="BO4" s="50" t="n">
        <f aca="false">IFERROR(__xludf.dummyfunction("FILTER(FILTER('Data Scenarios 5-6'!$A$2:$CE$105,'Data Scenarios 5-6'!$A$1:$CE$1=""P_LAPTOP_4_OUTPUT""),'Data Scenarios 5-6'!$B$2:$B$105=$A4,'Data Scenarios 5-6'!$C$2:$C$105=""All"",'Data Scenarios 5-6'!$D$2:$D$105=""Standard Deviation"")"),0.00426970804338191)</f>
        <v>0.00426970804338191</v>
      </c>
      <c r="BP4" s="53" t="n">
        <f aca="false">ABS(D4)*SQRT((BL4/A4)^2+(BM4/B4)^2+2*BN4/(A4*B4))</f>
        <v>0.000133957271804468</v>
      </c>
      <c r="BQ4" s="47" t="n">
        <f aca="false">IFERROR(__xludf.dummyfunction("FILTER(FILTER('Data Scenarios 5-6'!$A$2:$CE$105,'Data Scenarios 5-6'!$A$1:$CE$1=""V_LAPTOP_5_OUTPUT""),'Data Scenarios 5-6'!$B$2:$B$105=$A4,'Data Scenarios 5-6'!$C$2:$C$105=""All"",'Data Scenarios 5-6'!$D$2:$D$105=""Standard Deviation"")"),0.00645770422352398)</f>
        <v>0.00645770422352398</v>
      </c>
      <c r="BR4" s="70" t="n">
        <f aca="false">IFERROR(__xludf.dummyfunction("FILTER(FILTER('Data Scenarios 5-6'!$A$2:$CE$105,'Data Scenarios 5-6'!$A$1:$CE$1=""I_LAPTOP_5_OUTPUT""),'Data Scenarios 5-6'!$B$2:$B$105=$A4,'Data Scenarios 5-6'!$C$2:$C$105=""All"",'Data Scenarios 5-6'!$D$2:$D$105=""Standard Deviation"")"),0.0000873716494621864)</f>
        <v>8.73716494621864E-005</v>
      </c>
      <c r="BS4" s="49" t="n">
        <f aca="false">IFERROR(__xludf.dummyfunction("FILTER(FILTER('Data Scenarios 5-6'!$A$2:$CE$105,'Data Scenarios 5-6'!$A$1:$CE$1=""V_LAPTOP_5_OUTPUT * I_LAPTOP_5_OUTPUT""),'Data Scenarios 5-6'!$B$2:$B$105=$A4,'Data Scenarios 5-6'!$C$2:$C$105=""All"",'Data Scenarios 5-6'!$D$2:$D$105=""Covariance"")"),0.000000342384806116273)</f>
        <v>3.42384806116273E-007</v>
      </c>
      <c r="BT4" s="50" t="n">
        <f aca="false">IFERROR(__xludf.dummyfunction("FILTER(FILTER('Data Scenarios 5-6'!$A$2:$CE$105,'Data Scenarios 5-6'!$A$1:$CE$1=""P_LAPTOP_5_OUTPUT""),'Data Scenarios 5-6'!$B$2:$B$105=$A4,'Data Scenarios 5-6'!$C$2:$C$105=""All"",'Data Scenarios 5-6'!$D$2:$D$105=""Standard Deviation"")"),0.00167856044934971)</f>
        <v>0.00167856044934971</v>
      </c>
      <c r="BU4" s="146" t="n">
        <f aca="false">ABS(I4)*SQRT((BQ4/F4)^2+(BR4/G4)^2+2*BS4/(F4*G4))</f>
        <v>0</v>
      </c>
      <c r="BV4" s="47" t="n">
        <f aca="false">IFERROR(__xludf.dummyfunction("FILTER(FILTER('Data Scenarios 5-6'!$A$2:$CE$105,'Data Scenarios 5-6'!$A$1:$CE$1=""V_LAPTOP_6_OUTPUT""),'Data Scenarios 5-6'!$B$2:$B$105=$A4,'Data Scenarios 5-6'!$C$2:$C$105=""All"",'Data Scenarios 5-6'!$D$2:$D$105=""Standard Deviation"")"),0.00602110162867868)</f>
        <v>0.00602110162867868</v>
      </c>
      <c r="BW4" s="70" t="n">
        <f aca="false">IFERROR(__xludf.dummyfunction("FILTER(FILTER('Data Scenarios 5-6'!$A$2:$CE$105,'Data Scenarios 5-6'!$A$1:$CE$1=""I_LAPTOP_6_OUTPUT""),'Data Scenarios 5-6'!$B$2:$B$105=$A4,'Data Scenarios 5-6'!$C$2:$C$105=""All"",'Data Scenarios 5-6'!$D$2:$D$105=""Standard Deviation"")"),0.000085598216313913)</f>
        <v>8.5598216313913E-005</v>
      </c>
      <c r="BX4" s="52" t="n">
        <f aca="false">IFERROR(__xludf.dummyfunction("FILTER(FILTER('Data Scenarios 5-6'!$A$2:$CE$105,'Data Scenarios 5-6'!$A$1:$CE$1=""V_LAPTOP_6_OUTPUT * I_LAPTOP_6_OUTPUT""),'Data Scenarios 5-6'!$B$2:$B$105=$A4,'Data Scenarios 5-6'!$C$2:$C$105=""All"",'Data Scenarios 5-6'!$D$2:$D$105=""Covariance"")"),0.0000000230630715956842)</f>
        <v>2.30630715956842E-008</v>
      </c>
      <c r="BY4" s="50" t="n">
        <f aca="false">IFERROR(__xludf.dummyfunction("FILTER(FILTER('Data Scenarios 5-6'!$A$2:$CE$105,'Data Scenarios 5-6'!$A$1:$CE$1=""P_LAPTOP_6_OUTPUT""),'Data Scenarios 5-6'!$B$2:$B$105=$A4,'Data Scenarios 5-6'!$C$2:$C$105=""All"",'Data Scenarios 5-6'!$D$2:$D$105=""Standard Deviation"")"),0.0015863070241397)</f>
        <v>0.0015863070241397</v>
      </c>
      <c r="BZ4" s="146" t="n">
        <f aca="false">ABS(M4)*SQRT((BV4/J4)^2+(BW4/K4)^2+2*BX4/(J4*K4))</f>
        <v>0</v>
      </c>
      <c r="CA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B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C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D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E4" s="148" t="n">
        <v>0</v>
      </c>
      <c r="CF4" s="149" t="n">
        <f aca="false">IFERROR(__xludf.dummyfunction("FILTER(FILTER('Data Scenarios 5-6'!$A$2:$CE$105,'Data Scenarios 5-6'!$A$1:$CE$1=""V_LED_2""),'Data Scenarios 5-6'!$B$2:$B$105=$A4,'Data Scenarios 5-6'!$C$2:$C$105=""All"",'Data Scenarios 5-6'!$D$2:$D$105=""Standard Deviation"")"),0.0000800569900437184)</f>
        <v>8.00569900437184E-005</v>
      </c>
      <c r="CG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H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I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J4" s="148" t="n">
        <v>0</v>
      </c>
      <c r="CK4" s="54" t="n">
        <f aca="false">IFERROR(__xludf.dummyfunction("FILTER(FILTER('Data Scenarios 5-6'!$A$2:$CE$105,'Data Scenarios 5-6'!$A$1:$CE$1=""V_LED_1""),'Data Scenarios 5-6'!$B$2:$B$105=$A4,'Data Scenarios 5-6'!$C$2:$C$105=""All"",'Data Scenarios 5-6'!$D$2:$D$105=""Standard Deviation"")"),0.000294319176755859)</f>
        <v>0.000294319176755859</v>
      </c>
      <c r="CL4" s="147" t="n">
        <f aca="false">IFERROR(__xludf.dummyfunction("FILTER(FILTER('Data Scenarios 5-6'!$A$2:$CE$105,'Data Scenarios 5-6'!$A$1:$CE$1=""I_LED_1""),'Data Scenarios 5-6'!$B$2:$B$105=$A4,'Data Scenarios 5-6'!$C$2:$C$105=""All"",'Data Scenarios 5-6'!$D$2:$D$105=""Standard Deviation"")"),0)</f>
        <v>0</v>
      </c>
      <c r="CM4" s="147" t="n">
        <f aca="false">IFERROR(__xludf.dummyfunction("FILTER(FILTER('Data Scenarios 5-6'!$A$2:$CE$105,'Data Scenarios 5-6'!$A$1:$CE$1=""V_LED_1 * I_LED_1""),'Data Scenarios 5-6'!$B$2:$B$105=$A4,'Data Scenarios 5-6'!$C$2:$C$105=""All"",'Data Scenarios 5-6'!$D$2:$D$105=""Covariance"")"),-0.00000000180911443124907)</f>
        <v>-1.80911443124907E-009</v>
      </c>
      <c r="CN4" s="147" t="n">
        <f aca="false">IFERROR(__xludf.dummyfunction("FILTER(FILTER('Data Scenarios 5-6'!$A$2:$CE$105,'Data Scenarios 5-6'!$A$1:$CE$1=""P_LED_1""),'Data Scenarios 5-6'!$B$2:$B$105=$A4,'Data Scenarios 5-6'!$C$2:$C$105=""All"",'Data Scenarios 5-6'!$D$2:$D$105=""Standard Deviation"")"),0.000000276206250149918)</f>
        <v>2.76206250149918E-007</v>
      </c>
      <c r="CO4" s="148" t="n">
        <v>0</v>
      </c>
      <c r="CP4" s="147" t="n">
        <f aca="false">IFERROR(__xludf.dummyfunction("FILTER(FILTER('Data Scenarios 5-6'!$A$2:$CE$105,'Data Scenarios 5-6'!$A$1:$CE$1=""V_RESISTOR_1A""),'Data Scenarios 5-6'!$B$2:$B$105=$A4,'Data Scenarios 5-6'!$C$2:$C$105=""All"",'Data Scenarios 5-6'!$D$2:$D$105=""Standard Deviation"")"),0.000000103125757348509)</f>
        <v>1.03125757348509E-007</v>
      </c>
      <c r="CQ4" s="40"/>
      <c r="CR4" s="41" t="n">
        <f aca="false">IFERROR(__xludf.dummyfunction("FILTER(FILTER('Data Scenarios 5-6'!$A$2:$CE$105,'Data Scenarios 5-6'!$A$1:$CE$1=""P_RESISTOR_1A""),'Data Scenarios 5-6'!$B$2:$B$105=$A4,'Data Scenarios 5-6'!$C$2:$C$105=""All"",'Data Scenarios 5-6'!$D$2:$D$105=""Standard Deviation"")"),4.26885487031929E-032)</f>
        <v>4.26885487031929E-032</v>
      </c>
      <c r="CS4" s="150" t="n">
        <v>0</v>
      </c>
      <c r="CT4" s="147" t="n">
        <f aca="false">IFERROR(__xludf.dummyfunction("FILTER(FILTER('Data Scenarios 5-6'!$A$2:$CE$105,'Data Scenarios 5-6'!$A$1:$CE$1=""V_RESISTOR_1B""),'Data Scenarios 5-6'!$B$2:$B$105=$A4,'Data Scenarios 5-6'!$C$2:$C$105=""All"",'Data Scenarios 5-6'!$D$2:$D$105=""Standard Deviation"")"),0.000000122099014066908)</f>
        <v>1.22099014066908E-007</v>
      </c>
      <c r="CU4" s="40"/>
      <c r="CV4" s="41" t="n">
        <f aca="false">IFERROR(__xludf.dummyfunction("FILTER(FILTER('Data Scenarios 5-6'!$A$2:$CE$105,'Data Scenarios 5-6'!$A$1:$CE$1=""P_RESISTOR_1B""),'Data Scenarios 5-6'!$B$2:$B$105=$A4,'Data Scenarios 5-6'!$C$2:$C$105=""All"",'Data Scenarios 5-6'!$D$2:$D$105=""Standard Deviation"")"),4.09608214644057E-032)</f>
        <v>4.09608214644057E-032</v>
      </c>
      <c r="CW4" s="150" t="n">
        <v>0</v>
      </c>
      <c r="CX4" s="147" t="n">
        <f aca="false">IFERROR(__xludf.dummyfunction("FILTER(FILTER('Data Scenarios 5-6'!$A$2:$CE$105,'Data Scenarios 5-6'!$A$1:$CE$1=""V_RESISTOR_1C""),'Data Scenarios 5-6'!$B$2:$B$105=$A4,'Data Scenarios 5-6'!$C$2:$C$105=""All"",'Data Scenarios 5-6'!$D$2:$D$105=""Standard Deviation"")"),0.000000149723466470814)</f>
        <v>1.49723466470814E-007</v>
      </c>
      <c r="CY4" s="40"/>
      <c r="CZ4" s="41" t="n">
        <f aca="false">IFERROR(__xludf.dummyfunction("FILTER(FILTER('Data Scenarios 5-6'!$A$2:$CE$105,'Data Scenarios 5-6'!$A$1:$CE$1=""P_RESISTOR_1C""),'Data Scenarios 5-6'!$B$2:$B$105=$A4,'Data Scenarios 5-6'!$C$2:$C$105=""All"",'Data Scenarios 5-6'!$D$2:$D$105=""Standard Deviation"")"),2.49025649386812E-032)</f>
        <v>2.49025649386812E-032</v>
      </c>
      <c r="DA4" s="150" t="n">
        <v>0</v>
      </c>
      <c r="DB4" s="147" t="n">
        <f aca="false">IFERROR(__xludf.dummyfunction("FILTER(FILTER('Data Scenarios 5-6'!$A$2:$CE$105,'Data Scenarios 5-6'!$A$1:$CE$1=""V_RESISTOR_1D""),'Data Scenarios 5-6'!$B$2:$B$105=$A4,'Data Scenarios 5-6'!$C$2:$C$105=""All"",'Data Scenarios 5-6'!$D$2:$D$105=""Standard Deviation"")"),0.0000000689745808318247)</f>
        <v>6.89745808318247E-008</v>
      </c>
      <c r="DC4" s="40"/>
      <c r="DD4" s="41" t="n">
        <f aca="false">IFERROR(__xludf.dummyfunction("FILTER(FILTER('Data Scenarios 5-6'!$A$2:$CE$105,'Data Scenarios 5-6'!$A$1:$CE$1=""P_RESISTOR_1D""),'Data Scenarios 5-6'!$B$2:$B$105=$A4,'Data Scenarios 5-6'!$C$2:$C$105=""All"",'Data Scenarios 5-6'!$D$2:$D$105=""Standard Deviation"")"),7.55852146294561E-033)</f>
        <v>7.55852146294561E-033</v>
      </c>
      <c r="DE4" s="150" t="n">
        <v>0</v>
      </c>
      <c r="DF4" s="147" t="n">
        <f aca="false">IFERROR(__xludf.dummyfunction("FILTER(FILTER('Data Scenarios 5-6'!$A$2:$CE$105,'Data Scenarios 5-6'!$A$1:$CE$1=""V_RESISTOR_1E""),'Data Scenarios 5-6'!$B$2:$B$105=$A4,'Data Scenarios 5-6'!$C$2:$C$105=""All"",'Data Scenarios 5-6'!$D$2:$D$105=""Standard Deviation"")"),0.000000157367011167219)</f>
        <v>1.57367011167219E-007</v>
      </c>
      <c r="DG4" s="40"/>
      <c r="DH4" s="41" t="n">
        <f aca="false">IFERROR(__xludf.dummyfunction("FILTER(FILTER('Data Scenarios 5-6'!$A$2:$CE$105,'Data Scenarios 5-6'!$A$1:$CE$1=""P_RESISTOR_1E""),'Data Scenarios 5-6'!$B$2:$B$105=$A4,'Data Scenarios 5-6'!$C$2:$C$105=""All"",'Data Scenarios 5-6'!$D$2:$D$105=""Standard Deviation"")"),7.54313913027381E-032)</f>
        <v>7.54313913027381E-032</v>
      </c>
      <c r="DI4" s="150" t="n">
        <v>0</v>
      </c>
      <c r="DJ4" s="147" t="n">
        <f aca="false">IFERROR(__xludf.dummyfunction("FILTER(FILTER('Data Scenarios 5-6'!$A$2:$CE$105,'Data Scenarios 5-6'!$A$1:$CE$1=""V_RESISTOR_1F""),'Data Scenarios 5-6'!$B$2:$B$105=$A4,'Data Scenarios 5-6'!$C$2:$C$105=""All"",'Data Scenarios 5-6'!$D$2:$D$105=""Standard Deviation"")"),0.000000175907165844289)</f>
        <v>1.75907165844289E-007</v>
      </c>
      <c r="DK4" s="40"/>
      <c r="DL4" s="41" t="n">
        <f aca="false">IFERROR(__xludf.dummyfunction("FILTER(FILTER('Data Scenarios 5-6'!$A$2:$CE$105,'Data Scenarios 5-6'!$A$1:$CE$1=""P_RESISTOR_1F""),'Data Scenarios 5-6'!$B$2:$B$105=$A4,'Data Scenarios 5-6'!$C$2:$C$105=""All"",'Data Scenarios 5-6'!$D$2:$D$105=""Standard Deviation"")"),1.87200727359122E-032)</f>
        <v>1.87200727359122E-032</v>
      </c>
      <c r="DM4" s="150" t="n">
        <v>0</v>
      </c>
      <c r="DN4" s="147" t="n">
        <f aca="false">IFERROR(__xludf.dummyfunction("FILTER(FILTER('Data Scenarios 5-6'!$A$2:$CE$105,'Data Scenarios 5-6'!$A$1:$CE$1=""V_RESISTOR_1G""),'Data Scenarios 5-6'!$B$2:$B$105=$A4,'Data Scenarios 5-6'!$C$2:$C$105=""All"",'Data Scenarios 5-6'!$D$2:$D$105=""Standard Deviation"")"),0.000000276276448331698)</f>
        <v>2.76276448331698E-007</v>
      </c>
      <c r="DO4" s="40"/>
      <c r="DP4" s="41" t="n">
        <f aca="false">IFERROR(__xludf.dummyfunction("FILTER(FILTER('Data Scenarios 5-6'!$A$2:$CE$105,'Data Scenarios 5-6'!$A$1:$CE$1=""P_RESISTOR_1G""),'Data Scenarios 5-6'!$B$2:$B$105=$A4,'Data Scenarios 5-6'!$C$2:$C$105=""All"",'Data Scenarios 5-6'!$D$2:$D$105=""Standard Deviation"")"),2.30534188639645E-032)</f>
        <v>2.30534188639645E-032</v>
      </c>
      <c r="DQ4" s="150" t="n">
        <v>0</v>
      </c>
      <c r="DR4" s="57" t="n">
        <f aca="false">IFERROR(__xludf.dummyfunction("FILTER(FILTER('Data Scenarios 5-6'!$A$2:$CE$105,'Data Scenarios 5-6'!$A$1:$CE$1=""P_In""),'Data Scenarios 5-6'!$B$2:$B$105=$A4,'Data Scenarios 5-6'!$C$2:$C$105=""All"",'Data Scenarios 5-6'!$D$2:$D$105=""Standard Deviation"")"),0.0492731233104901)</f>
        <v>0.0492731233104901</v>
      </c>
      <c r="DS4" s="58" t="n">
        <f aca="false">IFERROR(__xludf.dummyfunction("FILTER(FILTER('Data Scenarios 5-6'!$A$2:$CE$105,'Data Scenarios 5-6'!$A$1:$CE$1=""P_Secondary""),'Data Scenarios 5-6'!$B$2:$B$105=$A4,'Data Scenarios 5-6'!$C$2:$C$105=""All"",'Data Scenarios 5-6'!$D$2:$D$105=""Standard Deviation"")"),0.0242629893621339)</f>
        <v>0.0242629893621339</v>
      </c>
      <c r="DT4" s="47" t="n">
        <f aca="false">IFERROR(__xludf.dummyfunction("FILTER(FILTER('Data Scenarios 5-6'!$A$2:$CE$105,'Data Scenarios 5-6'!$A$1:$CE$1=""P_Out""),'Data Scenarios 5-6'!$B$2:$B$105=$A4,'Data Scenarios 5-6'!$C$2:$C$105=""All"",'Data Scenarios 5-6'!$D$2:$D$105=""Standard Deviation"")"),0.00553873033583947)</f>
        <v>0.00553873033583947</v>
      </c>
      <c r="DU4" s="60" t="n">
        <f aca="false">SQRT(BO4^2+BT4^2+BY4^2+CD4^2+CI4^2+CN4^2+CS4^2+CW4^2+DA4^2+DE4^2+DI4^2+DM4^2+DQ4^2)</f>
        <v>0.00485431170832137</v>
      </c>
      <c r="DV4" s="59" t="n">
        <f aca="false">IFERROR(__xludf.dummyfunction("FILTER(FILTER('Data Scenarios 5-6'!$A$2:$CE$105,'Data Scenarios 5-6'!$A$1:$CE$1=""P_TransformerLoss""),'Data Scenarios 5-6'!$B$2:$B$105=$A4,'Data Scenarios 5-6'!$C$2:$C$105=""All"",'Data Scenarios 5-6'!$D$2:$D$105=""Standard Deviation"")"),0.0272064695168587)</f>
        <v>0.0272064695168587</v>
      </c>
      <c r="DW4" s="61" t="n">
        <f aca="false">SQRT(DR4^2+DS4^2)</f>
        <v>0.0549229763719865</v>
      </c>
      <c r="DX4" s="38" t="n">
        <f aca="false">IFERROR(__xludf.dummyfunction("FILTER(FILTER('Data Scenarios 5-6'!$A$2:$CE$105,'Data Scenarios 5-6'!$A$1:$CE$1=""P_ConverterLoss""),'Data Scenarios 5-6'!$B$2:$B$105=$A4,'Data Scenarios 5-6'!$C$2:$C$105=""All"",'Data Scenarios 5-6'!$D$2:$D$105=""Standard Deviation"")"),0.0196174525958869)</f>
        <v>0.0196174525958869</v>
      </c>
      <c r="DY4" s="61" t="n">
        <f aca="false">SQRT(DS4^2+MAX(DT4:DU4)^2)</f>
        <v>0.0248871490235457</v>
      </c>
      <c r="DZ4" s="38" t="n">
        <f aca="false">IFERROR(__xludf.dummyfunction("FILTER(FILTER('Data Scenarios 5-6'!$A$2:$CE$105,'Data Scenarios 5-6'!$A$1:$CE$1=""P_SystemLoss""),'Data Scenarios 5-6'!$B$2:$B$105=$A4,'Data Scenarios 5-6'!$C$2:$C$105=""All"",'Data Scenarios 5-6'!$D$2:$D$105=""Standard Deviation"")"),0.0438578113237738)</f>
        <v>0.0438578113237738</v>
      </c>
      <c r="EA4" s="61" t="n">
        <f aca="false">SQRT(DR4^2+MAX(DT4:DU4)^2)</f>
        <v>0.0495834469808616</v>
      </c>
      <c r="EB4" s="151" t="n">
        <v>67.9150785355604</v>
      </c>
      <c r="EC4" s="152" t="n">
        <v>20.0160941201966</v>
      </c>
      <c r="ED4" s="152" t="n">
        <v>47.8989844153638</v>
      </c>
      <c r="EE4" s="152" t="n">
        <v>19.5200941201966</v>
      </c>
      <c r="EF4" s="152" t="n">
        <v>67.4190785355604</v>
      </c>
      <c r="EG4" s="45" t="n">
        <f aca="false">EB4-BB4</f>
        <v>-4.4760032144396</v>
      </c>
      <c r="EH4" s="65" t="n">
        <f aca="false">TINV(0.1,2)*DR4/SQRT(3)</f>
        <v>0.0830673147328565</v>
      </c>
      <c r="EI4" s="66" t="n">
        <f aca="false">EG4/BB4</f>
        <v>-0.0618308651595692</v>
      </c>
      <c r="EJ4" s="67" t="n">
        <f aca="false">EH4/BB4</f>
        <v>0.00114747994814785</v>
      </c>
      <c r="EK4" s="45" t="n">
        <f aca="false">EC4-BC4</f>
        <v>0.177510314641097</v>
      </c>
      <c r="EL4" s="65" t="n">
        <f aca="false">TINV(0.1,2)*DS4/SQRT(3)</f>
        <v>0.0409038688496379</v>
      </c>
      <c r="EM4" s="66" t="n">
        <f aca="false">EK4/BC4</f>
        <v>0.00894773116775543</v>
      </c>
      <c r="EN4" s="67" t="n">
        <f aca="false">EL4/BC4</f>
        <v>0.00206183411328904</v>
      </c>
      <c r="EO4" s="45" t="n">
        <f aca="false">ED4-BF4</f>
        <v>-4.6535135290806</v>
      </c>
      <c r="EP4" s="65" t="n">
        <f aca="false">TINV(0.1,2)*DV4/SQRT(3)</f>
        <v>0.0458661479988955</v>
      </c>
      <c r="EQ4" s="66" t="n">
        <f aca="false">EO4/BF4</f>
        <v>-0.0885498065953028</v>
      </c>
      <c r="ER4" s="66" t="n">
        <f aca="false">EP4/BF4</f>
        <v>0.000872768180256297</v>
      </c>
      <c r="ES4" s="45" t="n">
        <f aca="false">EE4-BH4</f>
        <v>0.1779975544476</v>
      </c>
      <c r="ET4" s="65" t="n">
        <f aca="false">TINV(0.1,2)*MAX(DX4,DY4)/SQRT(3)</f>
        <v>0.0419561111991098</v>
      </c>
      <c r="EU4" s="66" t="n">
        <f aca="false">ES4/BH4</f>
        <v>0.00920259878977124</v>
      </c>
      <c r="EV4" s="67" t="n">
        <f aca="false">ET4/BH4</f>
        <v>0.00216916046595516</v>
      </c>
      <c r="EW4" s="45" t="n">
        <f aca="false">EF4-BJ4</f>
        <v>-4.4755159746331</v>
      </c>
      <c r="EX4" s="65" t="n">
        <f aca="false">TINV(0.1,2)*MAX(DZ4,EA4)/SQRT(3)</f>
        <v>0.0835904752768587</v>
      </c>
      <c r="EY4" s="66" t="n">
        <f aca="false">EW4/BJ4</f>
        <v>-0.0622510774992763</v>
      </c>
      <c r="EZ4" s="66" t="n">
        <f aca="false">EX4/BJ4</f>
        <v>0.00116268094766161</v>
      </c>
    </row>
    <row r="5" customFormat="false" ht="12.75" hidden="false" customHeight="false" outlineLevel="0" collapsed="false">
      <c r="A5" s="37" t="n">
        <v>5.2</v>
      </c>
      <c r="B5" s="38" t="n">
        <f aca="false">IFERROR(__xludf.dummyfunction("FILTER(FILTER('Data Scenarios 5-6'!$A$2:$CE$105,'Data Scenarios 5-6'!$A$1:$CE$1=""V_LAPTOP_4_OUTPUT""),'Data Scenarios 5-6'!$B$2:$B$105=$A5,'Data Scenarios 5-6'!$C$2:$C$105=""All"",'Data Scenarios 5-6'!$D$2:$D$105=""Mean"")"),18.5712526222222)</f>
        <v>18.5712526222222</v>
      </c>
      <c r="C5" s="38" t="n">
        <f aca="false">IFERROR(__xludf.dummyfunction("FILTER(FILTER('Data Scenarios 5-6'!$A$2:$CE$105,'Data Scenarios 5-6'!$A$1:$CE$1=""I_LAPTOP_4_OUTPUT""),'Data Scenarios 5-6'!$B$2:$B$105=$A5,'Data Scenarios 5-6'!$C$2:$C$105=""All"",'Data Scenarios 5-6'!$D$2:$D$105=""Mean"")"),0.310472210987366)</f>
        <v>0.310472210987366</v>
      </c>
      <c r="D5" s="65" t="n">
        <f aca="false">IFERROR(__xludf.dummyfunction("FILTER(FILTER('Data Scenarios 5-6'!$A$2:$CE$105,'Data Scenarios 5-6'!$A$1:$CE$1=""P_LAPTOP_4_OUTPUT""),'Data Scenarios 5-6'!$B$2:$B$105=$A5,'Data Scenarios 5-6'!$C$2:$C$105=""All"",'Data Scenarios 5-6'!$D$2:$D$105=""Mean"")"),5.76585869465231)</f>
        <v>5.76585869465231</v>
      </c>
      <c r="E5" s="68" t="n">
        <f aca="false">B5*C5</f>
        <v>5.76585786242625</v>
      </c>
      <c r="F5" s="38" t="n">
        <f aca="false">IFERROR(__xludf.dummyfunction("FILTER(FILTER('Data Scenarios 5-6'!$A$2:$CE$105,'Data Scenarios 5-6'!$A$1:$CE$1=""V_LAPTOP_5_OUTPUT""),'Data Scenarios 5-6'!$B$2:$B$105=$A5,'Data Scenarios 5-6'!$C$2:$C$105=""All"",'Data Scenarios 5-6'!$D$2:$D$105=""Mean"")"),18.6576350111111)</f>
        <v>18.6576350111111</v>
      </c>
      <c r="G5" s="3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5-6'!$D$2:$D$105=""Mean"")"),0.326322110129539)</f>
        <v>0.326322110129539</v>
      </c>
      <c r="H5" s="65" t="n">
        <f aca="false">IFERROR(__xludf.dummyfunction("FILTER(FILTER('Data Scenarios 5-6'!$A$2:$CE$105,'Data Scenarios 5-6'!$A$1:$CE$1=""P_LAPTOP_5_OUTPUT""),'Data Scenarios 5-6'!$B$2:$B$105=$A5,'Data Scenarios 5-6'!$C$2:$C$105=""All"",'Data Scenarios 5-6'!$D$2:$D$105=""Mean"")"),6.08840058236651)</f>
        <v>6.08840058236651</v>
      </c>
      <c r="I5" s="68" t="n">
        <f aca="false">F5*G5</f>
        <v>6.08839882685254</v>
      </c>
      <c r="J5" s="38" t="n">
        <f aca="false">IFERROR(__xludf.dummyfunction("FILTER(FILTER('Data Scenarios 5-6'!$A$2:$CE$105,'Data Scenarios 5-6'!$A$1:$CE$1=""V_LAPTOP_6_OUTPUT""),'Data Scenarios 5-6'!$B$2:$B$105=$A5,'Data Scenarios 5-6'!$C$2:$C$105=""All"",'Data Scenarios 5-6'!$D$2:$D$105=""Mean"")"),18.7633050138888)</f>
        <v>18.7633050138888</v>
      </c>
      <c r="K5" s="38" t="n">
        <f aca="false">IFERROR(__xludf.dummyfunction("FILTER(FILTER('Data Scenarios 5-6'!$A$2:$CE$105,'Data Scenarios 5-6'!$A$1:$CE$1=""I_LAPTOP_6_OUTPUT""),'Data Scenarios 5-6'!$B$2:$B$105=$A5,'Data Scenarios 5-6'!$C$2:$C$105=""All"",'Data Scenarios 5-6'!$D$2:$D$105=""Mean"")"),0.364277603500534)</f>
        <v>0.364277603500534</v>
      </c>
      <c r="L5" s="65" t="n">
        <f aca="false">IFERROR(__xludf.dummyfunction("FILTER(FILTER('Data Scenarios 5-6'!$A$2:$CE$105,'Data Scenarios 5-6'!$A$1:$CE$1=""P_LAPTOP_6_OUTPUT""),'Data Scenarios 5-6'!$B$2:$B$105=$A5,'Data Scenarios 5-6'!$C$2:$C$105=""All"",'Data Scenarios 5-6'!$D$2:$D$105=""Mean"")"),6.83505189891562)</f>
        <v>6.83505189891562</v>
      </c>
      <c r="M5" s="68" t="n">
        <f aca="false">J5*K5</f>
        <v>6.83505178420897</v>
      </c>
      <c r="N5" s="38" t="n">
        <f aca="false">IFERROR(__xludf.dummyfunction("FILTER(FILTER('Data Scenarios 5-6'!$A$2:$CE$105,'Data Scenarios 5-6'!$A$1:$CE$1=""V_LED_1""),'Data Scenarios 5-6'!$B$2:$B$105=$A5,'Data Scenarios 5-6'!$C$2:$C$105=""All"",'Data Scenarios 5-6'!$D$2:$D$105=""Mean"")"),24.3994676388888)</f>
        <v>24.3994676388888</v>
      </c>
      <c r="O5" s="38" t="n">
        <f aca="false">IFERROR(__xludf.dummyfunction("FILTER(FILTER('Data Scenarios 5-6'!$A$2:$CE$105,'Data Scenarios 5-6'!$A$1:$CE$1=""I_LED_1""),'Data Scenarios 5-6'!$B$2:$B$105=$A5,'Data Scenarios 5-6'!$C$2:$C$105=""All"",'Data Scenarios 5-6'!$D$2:$D$105=""Mean"")"),1.28094216944444)</f>
        <v>1.28094216944444</v>
      </c>
      <c r="P5" s="65" t="n">
        <f aca="false">IFERROR(__xludf.dummyfunction("FILTER(FILTER('Data Scenarios 5-6'!$A$2:$CE$105,'Data Scenarios 5-6'!$A$1:$CE$1=""P_LED_1""),'Data Scenarios 5-6'!$B$2:$B$105=$A5,'Data Scenarios 5-6'!$C$2:$C$105=""All"",'Data Scenarios 5-6'!$D$2:$D$105=""Mean"")"),31.2541784444444)</f>
        <v>31.2541784444444</v>
      </c>
      <c r="Q5" s="68" t="n">
        <f aca="false">N5*O5</f>
        <v>31.2543070106476</v>
      </c>
      <c r="R5" s="38" t="n">
        <f aca="false">IFERROR(__xludf.dummyfunction("FILTER(FILTER('Data Scenarios 5-6'!$A$2:$CE$105,'Data Scenarios 5-6'!$A$1:$CE$1=""V_LED_2""),'Data Scenarios 5-6'!$B$2:$B$105=$A5,'Data Scenarios 5-6'!$C$2:$C$105=""All"",'Data Scenarios 5-6'!$D$2:$D$105=""Mean"")"),24.2847955555555)</f>
        <v>24.2847955555555</v>
      </c>
      <c r="S5" s="38" t="n">
        <f aca="false">IFERROR(__xludf.dummyfunction("FILTER(FILTER('Data Scenarios 5-6'!$A$2:$CE$105,'Data Scenarios 5-6'!$A$1:$CE$1=""I_LED_2""),'Data Scenarios 5-6'!$B$2:$B$105=$A5,'Data Scenarios 5-6'!$C$2:$C$105=""All"",'Data Scenarios 5-6'!$D$2:$D$105=""Mean"")"),1.30361545555555)</f>
        <v>1.30361545555555</v>
      </c>
      <c r="T5" s="65" t="n">
        <f aca="false">IFERROR(__xludf.dummyfunction("FILTER(FILTER('Data Scenarios 5-6'!$A$2:$CE$105,'Data Scenarios 5-6'!$A$1:$CE$1=""P_LED_2""),'Data Scenarios 5-6'!$B$2:$B$105=$A5,'Data Scenarios 5-6'!$C$2:$C$105=""All"",'Data Scenarios 5-6'!$D$2:$D$105=""Mean"")"),31.6578885555555)</f>
        <v>31.6578885555555</v>
      </c>
      <c r="U5" s="68" t="n">
        <f aca="false">R5*S5</f>
        <v>31.6580348212289</v>
      </c>
      <c r="V5" s="38" t="n">
        <f aca="false">IFERROR(__xludf.dummyfunction("FILTER(FILTER('Data Scenarios 5-6'!$A$2:$CE$105,'Data Scenarios 5-6'!$A$1:$CE$1=""V_LED_3""),'Data Scenarios 5-6'!$B$2:$B$105=$A5,'Data Scenarios 5-6'!$C$2:$C$105=""All"",'Data Scenarios 5-6'!$D$2:$D$105=""Mean"")"),24.3200169166666)</f>
        <v>24.3200169166666</v>
      </c>
      <c r="W5" s="38" t="n">
        <f aca="false">IFERROR(__xludf.dummyfunction("FILTER(FILTER('Data Scenarios 5-6'!$A$2:$CE$105,'Data Scenarios 5-6'!$A$1:$CE$1=""I_LED_3""),'Data Scenarios 5-6'!$B$2:$B$105=$A5,'Data Scenarios 5-6'!$C$2:$C$105=""All"",'Data Scenarios 5-6'!$D$2:$D$105=""Mean"")"),1.26103533611111)</f>
        <v>1.26103533611111</v>
      </c>
      <c r="X5" s="65" t="n">
        <f aca="false">IFERROR(__xludf.dummyfunction("FILTER(FILTER('Data Scenarios 5-6'!$A$2:$CE$105,'Data Scenarios 5-6'!$A$1:$CE$1=""P_LED_3""),'Data Scenarios 5-6'!$B$2:$B$105=$A5,'Data Scenarios 5-6'!$C$2:$C$105=""All"",'Data Scenarios 5-6'!$D$2:$D$105=""Mean"")"),30.6682995833333)</f>
        <v>30.6682995833333</v>
      </c>
      <c r="Y5" s="68" t="n">
        <f aca="false">V5*W5</f>
        <v>30.6684007067365</v>
      </c>
      <c r="Z5" s="38" t="n">
        <f aca="false">IFERROR(__xludf.dummyfunction("FILTER(FILTER('Data Scenarios 5-6'!$A$2:$CE$105,'Data Scenarios 5-6'!$A$1:$CE$1=""V_RESISTOR_1A""),'Data Scenarios 5-6'!$B$2:$B$105=$A5,'Data Scenarios 5-6'!$C$2:$C$105=""All"",'Data Scenarios 5-6'!$D$2:$D$105=""Mean"")"),24.3351990611111)</f>
        <v>24.3351990611111</v>
      </c>
      <c r="AA5" s="40" t="n">
        <v>6.907</v>
      </c>
      <c r="AB5" s="41" t="n">
        <f aca="false">IFERROR(__xludf.dummyfunction("FILTER(FILTER('Data Scenarios 5-6'!$A$2:$CE$105,'Data Scenarios 5-6'!$A$1:$CE$1=""P_RESISTOR_1A""),'Data Scenarios 5-6'!$B$2:$B$105=$A5,'Data Scenarios 5-6'!$C$2:$C$105=""All"",'Data Scenarios 5-6'!$D$2:$D$105=""Mean"")"),85.7021582403956)</f>
        <v>85.7021582403956</v>
      </c>
      <c r="AC5" s="39" t="n">
        <f aca="false">Z5^2/AA5</f>
        <v>85.7393822707257</v>
      </c>
      <c r="AD5" s="38" t="n">
        <f aca="false">IFERROR(__xludf.dummyfunction("FILTER(FILTER('Data Scenarios 5-6'!$A$2:$CE$105,'Data Scenarios 5-6'!$A$1:$CE$1=""V_RESISTOR_1B""),'Data Scenarios 5-6'!$B$2:$B$105=$A5,'Data Scenarios 5-6'!$C$2:$C$105=""All"",'Data Scenarios 5-6'!$D$2:$D$105=""Mean"")"),0.000109246563888888)</f>
        <v>0.000109246563888888</v>
      </c>
      <c r="AE5" s="40"/>
      <c r="AF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5-6'!$D$2:$D$105=""Mean"")"),1.33536412860895E-027)</f>
        <v>1.33536412860895E-027</v>
      </c>
      <c r="AG5" s="42" t="n">
        <v>0</v>
      </c>
      <c r="AH5" s="38" t="n">
        <f aca="false">IFERROR(__xludf.dummyfunction("FILTER(FILTER('Data Scenarios 5-6'!$A$2:$CE$105,'Data Scenarios 5-6'!$A$1:$CE$1=""V_RESISTOR_1C""),'Data Scenarios 5-6'!$B$2:$B$105=$A5,'Data Scenarios 5-6'!$C$2:$C$105=""All"",'Data Scenarios 5-6'!$D$2:$D$105=""Mean"")"),0.0000313106027777777)</f>
        <v>3.13106027777777E-005</v>
      </c>
      <c r="AI5" s="40"/>
      <c r="AJ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5-6'!$D$2:$D$105=""Mean"")"),1.13427497916975E-028)</f>
        <v>1.13427497916975E-028</v>
      </c>
      <c r="AK5" s="42" t="n">
        <v>0</v>
      </c>
      <c r="AL5" s="38" t="n">
        <f aca="false">IFERROR(__xludf.dummyfunction("FILTER(FILTER('Data Scenarios 5-6'!$A$2:$CE$105,'Data Scenarios 5-6'!$A$1:$CE$1=""V_RESISTOR_1D""),'Data Scenarios 5-6'!$B$2:$B$105=$A5,'Data Scenarios 5-6'!$C$2:$C$105=""All"",'Data Scenarios 5-6'!$D$2:$D$105=""Mean"")"),0.0000156336916666666)</f>
        <v>1.56336916666666E-005</v>
      </c>
      <c r="AM5" s="40"/>
      <c r="AN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5-6'!$D$2:$D$105=""Mean"")"),2.92780888935185E-029)</f>
        <v>2.92780888935185E-029</v>
      </c>
      <c r="AO5" s="42" t="n">
        <v>0</v>
      </c>
      <c r="AP5" s="38" t="n">
        <f aca="false">IFERROR(__xludf.dummyfunction("FILTER(FILTER('Data Scenarios 5-6'!$A$2:$CE$105,'Data Scenarios 5-6'!$A$1:$CE$1=""V_RESISTOR_1E""),'Data Scenarios 5-6'!$B$2:$B$105=$A5,'Data Scenarios 5-6'!$C$2:$C$105=""All"",'Data Scenarios 5-6'!$D$2:$D$105=""Mean"")"),0.0191432939861111)</f>
        <v>0.0191432939861111</v>
      </c>
      <c r="AQ5" s="40"/>
      <c r="AR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5-6'!$D$2:$D$105=""Mean"")"),6.37791679875961E-022)</f>
        <v>6.37791679875961E-022</v>
      </c>
      <c r="AS5" s="42" t="n">
        <v>0</v>
      </c>
      <c r="AT5" s="38" t="n">
        <f aca="false">IFERROR(__xludf.dummyfunction("FILTER(FILTER('Data Scenarios 5-6'!$A$2:$CE$105,'Data Scenarios 5-6'!$A$1:$CE$1=""V_RESISTOR_1F""),'Data Scenarios 5-6'!$B$2:$B$105=$A5,'Data Scenarios 5-6'!$C$2:$C$105=""All"",'Data Scenarios 5-6'!$D$2:$D$105=""Mean"")"),-0.0000260114361111111)</f>
        <v>-2.60114361111111E-005</v>
      </c>
      <c r="AU5" s="40"/>
      <c r="AV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5-6'!$D$2:$D$105=""Mean"")"),7.60219577317901E-029)</f>
        <v>7.60219577317901E-029</v>
      </c>
      <c r="AW5" s="42" t="n">
        <v>0</v>
      </c>
      <c r="AX5" s="38" t="n">
        <f aca="false">IFERROR(__xludf.dummyfunction("FILTER(FILTER('Data Scenarios 5-6'!$A$2:$CE$105,'Data Scenarios 5-6'!$A$1:$CE$1=""V_RESISTOR_1G""),'Data Scenarios 5-6'!$B$2:$B$105=$A5,'Data Scenarios 5-6'!$C$2:$C$105=""All"",'Data Scenarios 5-6'!$D$2:$D$105=""Mean"")"),-0.000114414391666666)</f>
        <v>-0.000114414391666666</v>
      </c>
      <c r="AY5" s="40"/>
      <c r="AZ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5-6'!$D$2:$D$105=""Mean"")"),1.45517987263672E-027)</f>
        <v>1.45517987263672E-027</v>
      </c>
      <c r="BA5" s="42" t="n">
        <v>0</v>
      </c>
      <c r="BB5" s="44" t="n">
        <f aca="false">IFERROR(__xludf.dummyfunction("FILTER(FILTER('Data Scenarios 5-6'!$A$2:$CE$105,'Data Scenarios 5-6'!$A$1:$CE$1=""P_In""),'Data Scenarios 5-6'!$B$2:$B$105=$A5,'Data Scenarios 5-6'!$C$2:$C$105=""All"",'Data Scenarios 5-6'!$D$2:$D$105=""Mean"")"),294.184041333333)</f>
        <v>294.184041333333</v>
      </c>
      <c r="BC5" s="44" t="n">
        <f aca="false">IFERROR(__xludf.dummyfunction("FILTER(FILTER('Data Scenarios 5-6'!$A$2:$CE$105,'Data Scenarios 5-6'!$A$1:$CE$1=""P_Secondary""),'Data Scenarios 5-6'!$B$2:$B$105=$A5,'Data Scenarios 5-6'!$C$2:$C$105=""All"",'Data Scenarios 5-6'!$D$2:$D$105=""Mean"")"),239.701686111111)</f>
        <v>239.701686111111</v>
      </c>
      <c r="BD5" s="45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BE5" s="46" t="n">
        <f aca="false">E5+I5+M5+Q5+U5+Y5+AC5+AG5+AK5+AO5+AS5+AW5+BA5</f>
        <v>198.009433282827</v>
      </c>
      <c r="BF5" s="45" t="n">
        <f aca="false">IFERROR(__xludf.dummyfunction("FILTER(FILTER('Data Scenarios 5-6'!$A$2:$CE$105,'Data Scenarios 5-6'!$A$1:$CE$1=""P_TransformerLoss""),'Data Scenarios 5-6'!$B$2:$B$105=$A5,'Data Scenarios 5-6'!$C$2:$C$105=""All"",'Data Scenarios 5-6'!$D$2:$D$105=""Mean"")"),54.4823552222222)</f>
        <v>54.4823552222222</v>
      </c>
      <c r="BG5" s="46" t="n">
        <f aca="false">BB5-BC5</f>
        <v>54.482355222222</v>
      </c>
      <c r="BH5" s="41" t="n">
        <f aca="false">IFERROR(__xludf.dummyfunction("FILTER(FILTER('Data Scenarios 5-6'!$A$2:$CE$105,'Data Scenarios 5-6'!$A$1:$CE$1=""P_ConverterLoss""),'Data Scenarios 5-6'!$B$2:$B$105=$A5,'Data Scenarios 5-6'!$C$2:$C$105=""All"",'Data Scenarios 5-6'!$D$2:$D$105=""Mean"")"),41.7298501114476)</f>
        <v>41.7298501114476</v>
      </c>
      <c r="BI5" s="46" t="n">
        <f aca="false">BC5-BE5</f>
        <v>41.6922528282845</v>
      </c>
      <c r="BJ5" s="41" t="n">
        <f aca="false">IFERROR(__xludf.dummyfunction("FILTER(FILTER('Data Scenarios 5-6'!$A$2:$CE$105,'Data Scenarios 5-6'!$A$1:$CE$1=""P_SystemLoss""),'Data Scenarios 5-6'!$B$2:$B$105=$A5,'Data Scenarios 5-6'!$C$2:$C$105=""All"",'Data Scenarios 5-6'!$D$2:$D$105=""Mean"")"),96.2122053336698)</f>
        <v>96.2122053336698</v>
      </c>
      <c r="BK5" s="46" t="n">
        <f aca="false">BB5-BE5</f>
        <v>96.1746080505065</v>
      </c>
      <c r="BL5" s="47" t="n">
        <f aca="false">IFERROR(__xludf.dummyfunction("FILTER(FILTER('Data Scenarios 5-6'!$A$2:$CE$105,'Data Scenarios 5-6'!$A$1:$CE$1=""V_LAPTOP_4_OUTPUT""),'Data Scenarios 5-6'!$B$2:$B$105=$A5,'Data Scenarios 5-6'!$C$2:$C$105=""All"",'Data Scenarios 5-6'!$D$2:$D$105=""Standard Deviation"")"),0.00702934993616182)</f>
        <v>0.00702934993616182</v>
      </c>
      <c r="BM5" s="70" t="n">
        <f aca="false">IFERROR(__xludf.dummyfunction("FILTER(FILTER('Data Scenarios 5-6'!$A$2:$CE$105,'Data Scenarios 5-6'!$A$1:$CE$1=""I_LAPTOP_4_OUTPUT""),'Data Scenarios 5-6'!$B$2:$B$105=$A5,'Data Scenarios 5-6'!$C$2:$C$105=""All"",'Data Scenarios 5-6'!$D$2:$D$105=""Standard Deviation"")"),0.0000459255870636568)</f>
        <v>4.59255870636568E-005</v>
      </c>
      <c r="BN5" s="70" t="n">
        <f aca="false">IFERROR(__xludf.dummyfunction("FILTER(FILTER('Data Scenarios 5-6'!$A$2:$CE$105,'Data Scenarios 5-6'!$A$1:$CE$1=""V_LAPTOP_4_OUTPUT * I_LAPTOP_4_OUTPUT""),'Data Scenarios 5-6'!$B$2:$B$105=$A5,'Data Scenarios 5-6'!$C$2:$C$105=""All"",'Data Scenarios 5-6'!$D$2:$D$105=""Covariance"")"),-0.0000203923545958252)</f>
        <v>-2.03923545958252E-005</v>
      </c>
      <c r="BO5" s="50" t="n">
        <f aca="false">IFERROR(__xludf.dummyfunction("FILTER(FILTER('Data Scenarios 5-6'!$A$2:$CE$105,'Data Scenarios 5-6'!$A$1:$CE$1=""P_LAPTOP_4_OUTPUT""),'Data Scenarios 5-6'!$B$2:$B$105=$A5,'Data Scenarios 5-6'!$C$2:$C$105=""All"",'Data Scenarios 5-6'!$D$2:$D$105=""Standard Deviation"")"),0.00299590349238982)</f>
        <v>0.00299590349238982</v>
      </c>
      <c r="BP5" s="153" t="n">
        <f aca="false">ABS(E5)*SQRT(MAX((BL5/B5)^2+(BM5/C5)^2+2*BN5/(B5*C5),0))</f>
        <v>0</v>
      </c>
      <c r="BQ5" s="47" t="n">
        <f aca="false">IFERROR(__xludf.dummyfunction("FILTER(FILTER('Data Scenarios 5-6'!$A$2:$CE$105,'Data Scenarios 5-6'!$A$1:$CE$1=""V_LAPTOP_5_OUTPUT""),'Data Scenarios 5-6'!$B$2:$B$105=$A5,'Data Scenarios 5-6'!$C$2:$C$105=""All"",'Data Scenarios 5-6'!$D$2:$D$105=""Standard Deviation"")"),0.00567845793275338)</f>
        <v>0.00567845793275338</v>
      </c>
      <c r="BR5" s="48" t="n">
        <f aca="false">IFERROR(__xludf.dummyfunction("FILTER(FILTER('Data Scenarios 5-6'!$A$2:$CE$105,'Data Scenarios 5-6'!$A$1:$CE$1=""I_LAPTOP_5_OUTPUT""),'Data Scenarios 5-6'!$B$2:$B$105=$A5,'Data Scenarios 5-6'!$C$2:$C$105=""All"",'Data Scenarios 5-6'!$D$2:$D$105=""Standard Deviation"")"),0.000577942827131247)</f>
        <v>0.000577942827131247</v>
      </c>
      <c r="BS5" s="52" t="n">
        <f aca="false">IFERROR(__xludf.dummyfunction("FILTER(FILTER('Data Scenarios 5-6'!$A$2:$CE$105,'Data Scenarios 5-6'!$A$1:$CE$1=""V_LAPTOP_5_OUTPUT * I_LAPTOP_5_OUTPUT""),'Data Scenarios 5-6'!$B$2:$B$105=$A5,'Data Scenarios 5-6'!$C$2:$C$105=""All"",'Data Scenarios 5-6'!$D$2:$D$105=""Covariance"")"),-0.0000000155754338370474)</f>
        <v>-1.55754338370474E-008</v>
      </c>
      <c r="BT5" s="38" t="n">
        <f aca="false">IFERROR(__xludf.dummyfunction("FILTER(FILTER('Data Scenarios 5-6'!$A$2:$CE$105,'Data Scenarios 5-6'!$A$1:$CE$1=""P_LAPTOP_5_OUTPUT""),'Data Scenarios 5-6'!$B$2:$B$105=$A5,'Data Scenarios 5-6'!$C$2:$C$105=""All"",'Data Scenarios 5-6'!$D$2:$D$105=""Standard Deviation"")"),0.0121217204593582)</f>
        <v>0.0121217204593582</v>
      </c>
      <c r="BU5" s="71" t="n">
        <f aca="false">ABS(I5)*SQRT((BQ5/F5)^2+(BR5/G5)^2+2*BS5/(F5*G5))</f>
        <v>0.0109324316501779</v>
      </c>
      <c r="BV5" s="47" t="n">
        <f aca="false">IFERROR(__xludf.dummyfunction("FILTER(FILTER('Data Scenarios 5-6'!$A$2:$CE$105,'Data Scenarios 5-6'!$A$1:$CE$1=""V_LAPTOP_6_OUTPUT""),'Data Scenarios 5-6'!$B$2:$B$105=$A5,'Data Scenarios 5-6'!$C$2:$C$105=""All"",'Data Scenarios 5-6'!$D$2:$D$105=""Standard Deviation"")"),0.00513392485256987)</f>
        <v>0.00513392485256987</v>
      </c>
      <c r="BW5" s="50" t="n">
        <f aca="false">IFERROR(__xludf.dummyfunction("FILTER(FILTER('Data Scenarios 5-6'!$A$2:$CE$105,'Data Scenarios 5-6'!$A$1:$CE$1=""I_LAPTOP_6_OUTPUT""),'Data Scenarios 5-6'!$B$2:$B$105=$A5,'Data Scenarios 5-6'!$C$2:$C$105=""All"",'Data Scenarios 5-6'!$D$2:$D$105=""Standard Deviation"")"),0.00234394921131346)</f>
        <v>0.00234394921131346</v>
      </c>
      <c r="BX5" s="52" t="n">
        <f aca="false">IFERROR(__xludf.dummyfunction("FILTER(FILTER('Data Scenarios 5-6'!$A$2:$CE$105,'Data Scenarios 5-6'!$A$1:$CE$1=""V_LAPTOP_6_OUTPUT * I_LAPTOP_6_OUTPUT""),'Data Scenarios 5-6'!$B$2:$B$105=$A5,'Data Scenarios 5-6'!$C$2:$C$105=""All"",'Data Scenarios 5-6'!$D$2:$D$105=""Covariance"")"),0.0000000347913365743293)</f>
        <v>3.47913365743293E-008</v>
      </c>
      <c r="BY5" s="38" t="n">
        <f aca="false">IFERROR(__xludf.dummyfunction("FILTER(FILTER('Data Scenarios 5-6'!$A$2:$CE$105,'Data Scenarios 5-6'!$A$1:$CE$1=""P_LAPTOP_6_OUTPUT""),'Data Scenarios 5-6'!$B$2:$B$105=$A5,'Data Scenarios 5-6'!$C$2:$C$105=""All"",'Data Scenarios 5-6'!$D$2:$D$105=""Standard Deviation"")"),0.0446093771065244)</f>
        <v>0.0446093771065244</v>
      </c>
      <c r="BZ5" s="71" t="n">
        <f aca="false">ABS(M5)*SQRT((BV5/J5)^2+(BW5/K5)^2+2*BX5/(J5*K5))</f>
        <v>0.0440253805559335</v>
      </c>
      <c r="CA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B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C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D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E5" s="73" t="n">
        <f aca="false">ABS(Q5)*SQRT((CA5/N5)^2+(CB5/O5)^2+2*CC5/(N5*O5))</f>
        <v>0.340598492936356</v>
      </c>
      <c r="CF5" s="47" t="n">
        <f aca="false">IFERROR(__xludf.dummyfunction("FILTER(FILTER('Data Scenarios 5-6'!$A$2:$CE$105,'Data Scenarios 5-6'!$A$1:$CE$1=""V_LED_2""),'Data Scenarios 5-6'!$B$2:$B$105=$A5,'Data Scenarios 5-6'!$C$2:$C$105=""All"",'Data Scenarios 5-6'!$D$2:$D$105=""Standard Deviation"")"),0.00253935550295103)</f>
        <v>0.00253935550295103</v>
      </c>
      <c r="CG5" s="38" t="n">
        <f aca="false">IFERROR(__xludf.dummyfunction("FILTER(FILTER('Data Scenarios 5-6'!$A$2:$CE$105,'Data Scenarios 5-6'!$A$1:$CE$1=""I_LED_2""),'Data Scenarios 5-6'!$B$2:$B$105=$A5,'Data Scenarios 5-6'!$C$2:$C$105=""All"",'Data Scenarios 5-6'!$D$2:$D$105=""Standard Deviation"")"),0.0120093393511348)</f>
        <v>0.0120093393511348</v>
      </c>
      <c r="CH5" s="48" t="n">
        <f aca="false">IFERROR(__xludf.dummyfunction("FILTER(FILTER('Data Scenarios 5-6'!$A$2:$CE$105,'Data Scenarios 5-6'!$A$1:$CE$1=""V_LED_2 * I_LED_2""),'Data Scenarios 5-6'!$B$2:$B$105=$A5,'Data Scenarios 5-6'!$C$2:$C$105=""All"",'Data Scenarios 5-6'!$D$2:$D$105=""Covariance"")"),0.000123581714867593)</f>
        <v>0.000123581714867593</v>
      </c>
      <c r="CI5" s="65" t="n">
        <f aca="false">IFERROR(__xludf.dummyfunction("FILTER(FILTER('Data Scenarios 5-6'!$A$2:$CE$105,'Data Scenarios 5-6'!$A$1:$CE$1=""P_LED_2""),'Data Scenarios 5-6'!$B$2:$B$105=$A5,'Data Scenarios 5-6'!$C$2:$C$105=""All"",'Data Scenarios 5-6'!$D$2:$D$105=""Standard Deviation"")"),0.288360886849807)</f>
        <v>0.288360886849807</v>
      </c>
      <c r="CJ5" s="73" t="n">
        <f aca="false">ABS(U5)*SQRT((CF5/R5)^2+(CG5/S5)^2+2*CH5/(R5*S5))</f>
        <v>0.304782043841251</v>
      </c>
      <c r="CK5" s="54" t="n">
        <f aca="false">IFERROR(__xludf.dummyfunction("FILTER(FILTER('Data Scenarios 5-6'!$A$2:$CE$105,'Data Scenarios 5-6'!$A$1:$CE$1=""V_LED_1""),'Data Scenarios 5-6'!$B$2:$B$105=$A5,'Data Scenarios 5-6'!$C$2:$C$105=""All"",'Data Scenarios 5-6'!$D$2:$D$105=""Standard Deviation"")"),0.000828004169730418)</f>
        <v>0.000828004169730418</v>
      </c>
      <c r="CL5" s="38" t="n">
        <f aca="false">IFERROR(__xludf.dummyfunction("FILTER(FILTER('Data Scenarios 5-6'!$A$2:$CE$105,'Data Scenarios 5-6'!$A$1:$CE$1=""I_LED_1""),'Data Scenarios 5-6'!$B$2:$B$105=$A5,'Data Scenarios 5-6'!$C$2:$C$105=""All"",'Data Scenarios 5-6'!$D$2:$D$105=""Standard Deviation"")"),0.0139878889838608)</f>
        <v>0.0139878889838608</v>
      </c>
      <c r="CM5" s="72" t="n">
        <f aca="false">IFERROR(__xludf.dummyfunction("FILTER(FILTER('Data Scenarios 5-6'!$A$2:$CE$105,'Data Scenarios 5-6'!$A$1:$CE$1=""V_LED_1 * I_LED_1""),'Data Scenarios 5-6'!$B$2:$B$105=$A5,'Data Scenarios 5-6'!$C$2:$C$105=""All"",'Data Scenarios 5-6'!$D$2:$D$105=""Covariance"")"),-0.00000763837424176173)</f>
        <v>-7.63837424176173E-006</v>
      </c>
      <c r="CN5" s="65" t="n">
        <f aca="false">IFERROR(__xludf.dummyfunction("FILTER(FILTER('Data Scenarios 5-6'!$A$2:$CE$105,'Data Scenarios 5-6'!$A$1:$CE$1=""P_LED_1""),'Data Scenarios 5-6'!$B$2:$B$105=$A5,'Data Scenarios 5-6'!$C$2:$C$105=""All"",'Data Scenarios 5-6'!$D$2:$D$105=""Standard Deviation"")"),0.34024924430972)</f>
        <v>0.34024924430972</v>
      </c>
      <c r="CO5" s="73" t="n">
        <f aca="false">ABS(Y5)*SQRT((CK5/V5)^2+(CL5/W5)^2+2*CM5/(V5*W5))</f>
        <v>0.33949798974327</v>
      </c>
      <c r="CP5" s="48" t="n">
        <f aca="false">IFERROR(__xludf.dummyfunction("FILTER(FILTER('Data Scenarios 5-6'!$A$2:$CE$105,'Data Scenarios 5-6'!$A$1:$CE$1=""V_RESISTOR_1A""),'Data Scenarios 5-6'!$B$2:$B$105=$A5,'Data Scenarios 5-6'!$C$2:$C$105=""All"",'Data Scenarios 5-6'!$D$2:$D$105=""Standard Deviation"")"),0.000340037752432676)</f>
        <v>0.000340037752432676</v>
      </c>
      <c r="CQ5" s="40" t="n">
        <v>0.045</v>
      </c>
      <c r="CR5" s="50" t="n">
        <f aca="false">IFERROR(__xludf.dummyfunction("FILTER(FILTER('Data Scenarios 5-6'!$A$2:$CE$105,'Data Scenarios 5-6'!$A$1:$CE$1=""P_RESISTOR_1A""),'Data Scenarios 5-6'!$B$2:$B$105=$A5,'Data Scenarios 5-6'!$C$2:$C$105=""All"",'Data Scenarios 5-6'!$D$2:$D$105=""Standard Deviation"")"),0.00239505188618526)</f>
        <v>0.00239505188618526</v>
      </c>
      <c r="CS5" s="73" t="n">
        <f aca="false">SQRT(CP5^2*(2*Z5/AA5)^2+CQ5^2*(Z5^2/AA5^2)^2)</f>
        <v>0.558608324385633</v>
      </c>
      <c r="CT5" s="147" t="n">
        <f aca="false">IFERROR(__xludf.dummyfunction("FILTER(FILTER('Data Scenarios 5-6'!$A$2:$CE$105,'Data Scenarios 5-6'!$A$1:$CE$1=""V_RESISTOR_1B""),'Data Scenarios 5-6'!$B$2:$B$105=$A5,'Data Scenarios 5-6'!$C$2:$C$105=""All"",'Data Scenarios 5-6'!$D$2:$D$105=""Standard Deviation"")"),0.00000995827861738222)</f>
        <v>9.95827861738222E-006</v>
      </c>
      <c r="CU5" s="40"/>
      <c r="CV5" s="41" t="n">
        <f aca="false">IFERROR(__xludf.dummyfunction("FILTER(FILTER('Data Scenarios 5-6'!$A$2:$CE$105,'Data Scenarios 5-6'!$A$1:$CE$1=""P_RESISTOR_1B""),'Data Scenarios 5-6'!$B$2:$B$105=$A5,'Data Scenarios 5-6'!$C$2:$C$105=""All"",'Data Scenarios 5-6'!$D$2:$D$105=""Standard Deviation"")"),2.32765259699502E-028)</f>
        <v>2.32765259699502E-028</v>
      </c>
      <c r="CW5" s="150" t="n">
        <v>0</v>
      </c>
      <c r="CX5" s="147" t="n">
        <f aca="false">IFERROR(__xludf.dummyfunction("FILTER(FILTER('Data Scenarios 5-6'!$A$2:$CE$105,'Data Scenarios 5-6'!$A$1:$CE$1=""V_RESISTOR_1C""),'Data Scenarios 5-6'!$B$2:$B$105=$A5,'Data Scenarios 5-6'!$C$2:$C$105=""All"",'Data Scenarios 5-6'!$D$2:$D$105=""Standard Deviation"")"),0.000007519543186943)</f>
        <v>7.519543186943E-006</v>
      </c>
      <c r="CY5" s="40"/>
      <c r="CZ5" s="41" t="n">
        <f aca="false">IFERROR(__xludf.dummyfunction("FILTER(FILTER('Data Scenarios 5-6'!$A$2:$CE$105,'Data Scenarios 5-6'!$A$1:$CE$1=""P_RESISTOR_1C""),'Data Scenarios 5-6'!$B$2:$B$105=$A5,'Data Scenarios 5-6'!$C$2:$C$105=""All"",'Data Scenarios 5-6'!$D$2:$D$105=""Standard Deviation"")"),4.94322468405986E-029)</f>
        <v>4.94322468405986E-029</v>
      </c>
      <c r="DA5" s="150" t="n">
        <v>0</v>
      </c>
      <c r="DB5" s="147" t="n">
        <f aca="false">IFERROR(__xludf.dummyfunction("FILTER(FILTER('Data Scenarios 5-6'!$A$2:$CE$105,'Data Scenarios 5-6'!$A$1:$CE$1=""V_RESISTOR_1D""),'Data Scenarios 5-6'!$B$2:$B$105=$A5,'Data Scenarios 5-6'!$C$2:$C$105=""All"",'Data Scenarios 5-6'!$D$2:$D$105=""Standard Deviation"")"),0.00000507657730335552)</f>
        <v>5.07657730335552E-006</v>
      </c>
      <c r="DC5" s="40"/>
      <c r="DD5" s="41" t="n">
        <f aca="false">IFERROR(__xludf.dummyfunction("FILTER(FILTER('Data Scenarios 5-6'!$A$2:$CE$105,'Data Scenarios 5-6'!$A$1:$CE$1=""P_RESISTOR_1D""),'Data Scenarios 5-6'!$B$2:$B$105=$A5,'Data Scenarios 5-6'!$C$2:$C$105=""All"",'Data Scenarios 5-6'!$D$2:$D$105=""Standard Deviation"")"),1.57966059130343E-029)</f>
        <v>1.57966059130343E-029</v>
      </c>
      <c r="DE5" s="150" t="n">
        <v>0</v>
      </c>
      <c r="DF5" s="147" t="n">
        <f aca="false">IFERROR(__xludf.dummyfunction("FILTER(FILTER('Data Scenarios 5-6'!$A$2:$CE$105,'Data Scenarios 5-6'!$A$1:$CE$1=""V_RESISTOR_1E""),'Data Scenarios 5-6'!$B$2:$B$105=$A5,'Data Scenarios 5-6'!$C$2:$C$105=""All"",'Data Scenarios 5-6'!$D$2:$D$105=""Standard Deviation"")"),0.0332037627419212)</f>
        <v>0.0332037627419212</v>
      </c>
      <c r="DG5" s="40"/>
      <c r="DH5" s="41" t="n">
        <f aca="false">IFERROR(__xludf.dummyfunction("FILTER(FILTER('Data Scenarios 5-6'!$A$2:$CE$105,'Data Scenarios 5-6'!$A$1:$CE$1=""P_RESISTOR_1E""),'Data Scenarios 5-6'!$B$2:$B$105=$A5,'Data Scenarios 5-6'!$C$2:$C$105=""All"",'Data Scenarios 5-6'!$D$2:$D$105=""Standard Deviation"")"),1.10468745439789E-021)</f>
        <v>1.10468745439789E-021</v>
      </c>
      <c r="DI5" s="150" t="n">
        <v>0</v>
      </c>
      <c r="DJ5" s="147" t="n">
        <f aca="false">IFERROR(__xludf.dummyfunction("FILTER(FILTER('Data Scenarios 5-6'!$A$2:$CE$105,'Data Scenarios 5-6'!$A$1:$CE$1=""V_RESISTOR_1F""),'Data Scenarios 5-6'!$B$2:$B$105=$A5,'Data Scenarios 5-6'!$C$2:$C$105=""All"",'Data Scenarios 5-6'!$D$2:$D$105=""Standard Deviation"")"),0.00000292360038432843)</f>
        <v>2.92360038432843E-006</v>
      </c>
      <c r="DK5" s="40"/>
      <c r="DL5" s="41" t="n">
        <f aca="false">IFERROR(__xludf.dummyfunction("FILTER(FILTER('Data Scenarios 5-6'!$A$2:$CE$105,'Data Scenarios 5-6'!$A$1:$CE$1=""P_RESISTOR_1F""),'Data Scenarios 5-6'!$B$2:$B$105=$A5,'Data Scenarios 5-6'!$C$2:$C$105=""All"",'Data Scenarios 5-6'!$D$2:$D$105=""Standard Deviation"")"),1.60392324331408E-029)</f>
        <v>1.60392324331408E-029</v>
      </c>
      <c r="DM5" s="150" t="n">
        <v>0</v>
      </c>
      <c r="DN5" s="147" t="n">
        <f aca="false">IFERROR(__xludf.dummyfunction("FILTER(FILTER('Data Scenarios 5-6'!$A$2:$CE$105,'Data Scenarios 5-6'!$A$1:$CE$1=""V_RESISTOR_1G""),'Data Scenarios 5-6'!$B$2:$B$105=$A5,'Data Scenarios 5-6'!$C$2:$C$105=""All"",'Data Scenarios 5-6'!$D$2:$D$105=""Standard Deviation"")"),0.00000127042541726514)</f>
        <v>1.27042541726514E-006</v>
      </c>
      <c r="DO5" s="40"/>
      <c r="DP5" s="41" t="n">
        <f aca="false">IFERROR(__xludf.dummyfunction("FILTER(FILTER('Data Scenarios 5-6'!$A$2:$CE$105,'Data Scenarios 5-6'!$A$1:$CE$1=""P_RESISTOR_1G""),'Data Scenarios 5-6'!$B$2:$B$105=$A5,'Data Scenarios 5-6'!$C$2:$C$105=""All"",'Data Scenarios 5-6'!$D$2:$D$105=""Standard Deviation"")"),3.13919780124621E-029)</f>
        <v>3.13919780124621E-029</v>
      </c>
      <c r="DQ5" s="150" t="n">
        <v>0</v>
      </c>
      <c r="DR5" s="57" t="n">
        <f aca="false">IFERROR(__xludf.dummyfunction("FILTER(FILTER('Data Scenarios 5-6'!$A$2:$CE$105,'Data Scenarios 5-6'!$A$1:$CE$1=""P_In""),'Data Scenarios 5-6'!$B$2:$B$105=$A5,'Data Scenarios 5-6'!$C$2:$C$105=""All"",'Data Scenarios 5-6'!$D$2:$D$105=""Standard Deviation"")"),0.903262617685129)</f>
        <v>0.903262617685129</v>
      </c>
      <c r="DS5" s="57" t="n">
        <f aca="false">IFERROR(__xludf.dummyfunction("FILTER(FILTER('Data Scenarios 5-6'!$A$2:$CE$105,'Data Scenarios 5-6'!$A$1:$CE$1=""P_Secondary""),'Data Scenarios 5-6'!$B$2:$B$105=$A5,'Data Scenarios 5-6'!$C$2:$C$105=""All"",'Data Scenarios 5-6'!$D$2:$D$105=""Standard Deviation"")"),0.958425036850574)</f>
        <v>0.958425036850574</v>
      </c>
      <c r="DT5" s="74" t="n">
        <f aca="false">IFERROR(__xludf.dummyfunction("FILTER(FILTER('Data Scenarios 5-6'!$A$2:$CE$105,'Data Scenarios 5-6'!$A$1:$CE$1=""P_Out""),'Data Scenarios 5-6'!$B$2:$B$105=$A5,'Data Scenarios 5-6'!$C$2:$C$105=""All"",'Data Scenarios 5-6'!$D$2:$D$105=""Standard Deviation"")"),0.919639971753183)</f>
        <v>0.919639971753183</v>
      </c>
      <c r="DU5" s="62" t="n">
        <f aca="false">SQRT(BO5^2+BT5^2+BY5^2+CD5^2+CI5^2+CN5^2+CS5^2+CW5^2+DA5^2+DE5^2+DI5^2+DM5^2+DQ5^2)</f>
        <v>0.793019713320461</v>
      </c>
      <c r="DV5" s="59" t="n">
        <f aca="false">IFERROR(__xludf.dummyfunction("FILTER(FILTER('Data Scenarios 5-6'!$A$2:$CE$105,'Data Scenarios 5-6'!$A$1:$CE$1=""P_TransformerLoss""),'Data Scenarios 5-6'!$B$2:$B$105=$A5,'Data Scenarios 5-6'!$C$2:$C$105=""All"",'Data Scenarios 5-6'!$D$2:$D$105=""Standard Deviation"")"),0.0551625057252709)</f>
        <v>0.0551625057252709</v>
      </c>
      <c r="DW5" s="75" t="n">
        <f aca="false">SQRT(DR5^2+DS5^2)</f>
        <v>1.31698971437495</v>
      </c>
      <c r="DX5" s="38" t="n">
        <f aca="false">IFERROR(__xludf.dummyfunction("FILTER(FILTER('Data Scenarios 5-6'!$A$2:$CE$105,'Data Scenarios 5-6'!$A$1:$CE$1=""P_ConverterLoss""),'Data Scenarios 5-6'!$B$2:$B$105=$A5,'Data Scenarios 5-6'!$C$2:$C$105=""All"",'Data Scenarios 5-6'!$D$2:$D$105=""Standard Deviation"")"),0.0835458753925667)</f>
        <v>0.0835458753925667</v>
      </c>
      <c r="DY5" s="75" t="n">
        <f aca="false">SQRT(DS5^2+MAX(DT5:DU5)^2)</f>
        <v>1.32827565998486</v>
      </c>
      <c r="DZ5" s="38" t="n">
        <f aca="false">IFERROR(__xludf.dummyfunction("FILTER(FILTER('Data Scenarios 5-6'!$A$2:$CE$105,'Data Scenarios 5-6'!$A$1:$CE$1=""P_SystemLoss""),'Data Scenarios 5-6'!$B$2:$B$105=$A5,'Data Scenarios 5-6'!$C$2:$C$105=""All"",'Data Scenarios 5-6'!$D$2:$D$105=""Standard Deviation"")"),0.0735864455327448)</f>
        <v>0.0735864455327448</v>
      </c>
      <c r="EA5" s="75" t="n">
        <f aca="false">SQRT(DR5^2+MAX(DT5:DU5)^2)</f>
        <v>1.28903880242357</v>
      </c>
      <c r="EB5" s="151" t="n">
        <v>283.292080244351</v>
      </c>
      <c r="EC5" s="152" t="n">
        <v>232.917471848212</v>
      </c>
      <c r="ED5" s="152" t="n">
        <v>50.3746083961395</v>
      </c>
      <c r="EE5" s="152" t="n">
        <v>35.2674718482118</v>
      </c>
      <c r="EF5" s="152" t="n">
        <v>85.6420802443512</v>
      </c>
      <c r="EG5" s="45" t="n">
        <f aca="false">EB5-BB5</f>
        <v>-10.891961088982</v>
      </c>
      <c r="EH5" s="65" t="n">
        <f aca="false">TINV(0.1,2)*DR5/SQRT(3)</f>
        <v>1.52276931334086</v>
      </c>
      <c r="EI5" s="66" t="n">
        <f aca="false">EG5/BB5</f>
        <v>-0.037024309815095</v>
      </c>
      <c r="EJ5" s="67" t="n">
        <f aca="false">EH5/BB5</f>
        <v>0.00517624717656062</v>
      </c>
      <c r="EK5" s="45" t="n">
        <f aca="false">EC5-BC5</f>
        <v>-6.78421426289901</v>
      </c>
      <c r="EL5" s="65" t="n">
        <f aca="false">TINV(0.1,2)*DS5/SQRT(3)</f>
        <v>1.61576512376204</v>
      </c>
      <c r="EM5" s="66" t="n">
        <f aca="false">EK5/BC5</f>
        <v>-0.0283027390126671</v>
      </c>
      <c r="EN5" s="67" t="n">
        <f aca="false">EL5/BC5</f>
        <v>0.00674073324212275</v>
      </c>
      <c r="EO5" s="45" t="n">
        <f aca="false">ED5-BF5</f>
        <v>-4.1077468260827</v>
      </c>
      <c r="EP5" s="65" t="n">
        <f aca="false">TINV(0.1,2)*DV5/SQRT(3)</f>
        <v>0.0929959563484488</v>
      </c>
      <c r="EQ5" s="66" t="n">
        <f aca="false">EO5/BF5</f>
        <v>-0.0753959113795294</v>
      </c>
      <c r="ER5" s="66" t="n">
        <f aca="false">EP5/BF5</f>
        <v>0.00170690044454095</v>
      </c>
      <c r="ES5" s="45" t="n">
        <f aca="false">EE5-BH5</f>
        <v>-6.4623782632358</v>
      </c>
      <c r="ET5" s="65" t="n">
        <f aca="false">TINV(0.1,2)*MAX(DX5,DY5)/SQRT(3)</f>
        <v>2.23927944662004</v>
      </c>
      <c r="EU5" s="66" t="n">
        <f aca="false">ES5/BH5</f>
        <v>-0.154862244795435</v>
      </c>
      <c r="EV5" s="67" t="n">
        <f aca="false">ET5/BH5</f>
        <v>0.0536613345276729</v>
      </c>
      <c r="EW5" s="45" t="n">
        <f aca="false">EF5-BJ5</f>
        <v>-10.5701250893186</v>
      </c>
      <c r="EX5" s="65" t="n">
        <f aca="false">TINV(0.1,2)*MAX(DZ5,EA5)/SQRT(3)</f>
        <v>2.17313181527071</v>
      </c>
      <c r="EY5" s="66" t="n">
        <f aca="false">EW5/BJ5</f>
        <v>-0.109862621407136</v>
      </c>
      <c r="EZ5" s="66" t="n">
        <f aca="false">EX5/BJ5</f>
        <v>0.0225868621110405</v>
      </c>
    </row>
    <row r="6" customFormat="false" ht="12.75" hidden="false" customHeight="false" outlineLevel="0" collapsed="false">
      <c r="A6" s="37" t="n">
        <v>5.3</v>
      </c>
      <c r="B6" s="38" t="n">
        <f aca="false">IFERROR(__xludf.dummyfunction("FILTER(FILTER('Data Scenarios 5-6'!$A$2:$CE$105,'Data Scenarios 5-6'!$A$1:$CE$1=""V_LAPTOP_4_OUTPUT""),'Data Scenarios 5-6'!$B$2:$B$105=$A6,'Data Scenarios 5-6'!$C$2:$C$105=""All"",'Data Scenarios 5-6'!$D$2:$D$105=""Mean"")"),18.3521610777777)</f>
        <v>18.3521610777777</v>
      </c>
      <c r="C6" s="3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5-6'!$D$2:$D$105=""Mean"")"),2.28714266721644)</f>
        <v>2.28714266721644</v>
      </c>
      <c r="D6" s="65" t="n">
        <f aca="false">IFERROR(__xludf.dummyfunction("FILTER(FILTER('Data Scenarios 5-6'!$A$2:$CE$105,'Data Scenarios 5-6'!$A$1:$CE$1=""P_LAPTOP_4_OUTPUT""),'Data Scenarios 5-6'!$B$2:$B$105=$A6,'Data Scenarios 5-6'!$C$2:$C$105=""All"",'Data Scenarios 5-6'!$D$2:$D$105=""Mean"")"),41.9740105357223)</f>
        <v>41.9740105357223</v>
      </c>
      <c r="E6" s="68" t="n">
        <f aca="false">B6*C6</f>
        <v>41.9740106366142</v>
      </c>
      <c r="F6" s="38" t="n">
        <f aca="false">IFERROR(__xludf.dummyfunction("FILTER(FILTER('Data Scenarios 5-6'!$A$2:$CE$105,'Data Scenarios 5-6'!$A$1:$CE$1=""V_LAPTOP_5_OUTPUT""),'Data Scenarios 5-6'!$B$2:$B$105=$A6,'Data Scenarios 5-6'!$C$2:$C$105=""All"",'Data Scenarios 5-6'!$D$2:$D$105=""Mean"")"),18.1838462527777)</f>
        <v>18.1838462527777</v>
      </c>
      <c r="G6" s="38" t="n">
        <f aca="false">IFERROR(__xludf.dummyfunction("FILTER(FILTER('Data Scenarios 5-6'!$A$2:$CE$105,'Data Scenarios 5-6'!$A$1:$CE$1=""I_LAPTOP_5_OUTPUT""),'Data Scenarios 5-6'!$B$2:$B$105=$A6,'Data Scenarios 5-6'!$C$2:$C$105=""All"",'Data Scenarios 5-6'!$D$2:$D$105=""Mean"")"),2.22587030830692)</f>
        <v>2.22587030830692</v>
      </c>
      <c r="H6" s="65" t="n">
        <f aca="false">IFERROR(__xludf.dummyfunction("FILTER(FILTER('Data Scenarios 5-6'!$A$2:$CE$105,'Data Scenarios 5-6'!$A$1:$CE$1=""P_LAPTOP_5_OUTPUT""),'Data Scenarios 5-6'!$B$2:$B$105=$A6,'Data Scenarios 5-6'!$C$2:$C$105=""All"",'Data Scenarios 5-6'!$D$2:$D$105=""Mean"")"),40.4748913431874)</f>
        <v>40.4748913431874</v>
      </c>
      <c r="I6" s="68" t="n">
        <f aca="false">F6*G6</f>
        <v>40.4748834648759</v>
      </c>
      <c r="J6" s="38" t="n">
        <f aca="false">IFERROR(__xludf.dummyfunction("FILTER(FILTER('Data Scenarios 5-6'!$A$2:$CE$105,'Data Scenarios 5-6'!$A$1:$CE$1=""V_LAPTOP_6_OUTPUT""),'Data Scenarios 5-6'!$B$2:$B$105=$A6,'Data Scenarios 5-6'!$C$2:$C$105=""All"",'Data Scenarios 5-6'!$D$2:$D$105=""Mean"")"),18.4763104972222)</f>
        <v>18.4763104972222</v>
      </c>
      <c r="K6" s="38" t="n">
        <f aca="false">IFERROR(__xludf.dummyfunction("FILTER(FILTER('Data Scenarios 5-6'!$A$2:$CE$105,'Data Scenarios 5-6'!$A$1:$CE$1=""I_LAPTOP_6_OUTPUT""),'Data Scenarios 5-6'!$B$2:$B$105=$A6,'Data Scenarios 5-6'!$C$2:$C$105=""All"",'Data Scenarios 5-6'!$D$2:$D$105=""Mean"")"),2.24422393536578)</f>
        <v>2.24422393536578</v>
      </c>
      <c r="L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5-6'!$D$2:$D$105=""Mean"")"),41.4649882127043)</f>
        <v>41.4649882127043</v>
      </c>
      <c r="M6" s="68" t="n">
        <f aca="false">J6*K6</f>
        <v>41.4649782551161</v>
      </c>
      <c r="N6" s="38" t="n">
        <f aca="false">IFERROR(__xludf.dummyfunction("FILTER(FILTER('Data Scenarios 5-6'!$A$2:$CE$105,'Data Scenarios 5-6'!$A$1:$CE$1=""V_LED_1""),'Data Scenarios 5-6'!$B$2:$B$105=$A6,'Data Scenarios 5-6'!$C$2:$C$105=""All"",'Data Scenarios 5-6'!$D$2:$D$105=""Mean"")"),24.16802525)</f>
        <v>24.16802525</v>
      </c>
      <c r="O6" s="38" t="n">
        <f aca="false">IFERROR(__xludf.dummyfunction("FILTER(FILTER('Data Scenarios 5-6'!$A$2:$CE$105,'Data Scenarios 5-6'!$A$1:$CE$1=""I_LED_1""),'Data Scenarios 5-6'!$B$2:$B$105=$A6,'Data Scenarios 5-6'!$C$2:$C$105=""All"",'Data Scenarios 5-6'!$D$2:$D$105=""Mean"")"),1.246268575)</f>
        <v>1.246268575</v>
      </c>
      <c r="P6" s="65" t="n">
        <f aca="false">IFERROR(__xludf.dummyfunction("FILTER(FILTER('Data Scenarios 5-6'!$A$2:$CE$105,'Data Scenarios 5-6'!$A$1:$CE$1=""P_LED_1""),'Data Scenarios 5-6'!$B$2:$B$105=$A6,'Data Scenarios 5-6'!$C$2:$C$105=""All"",'Data Scenarios 5-6'!$D$2:$D$105=""Mean"")"),30.1195583611111)</f>
        <v>30.1195583611111</v>
      </c>
      <c r="Q6" s="68" t="n">
        <f aca="false">N6*O6</f>
        <v>30.1198503888815</v>
      </c>
      <c r="R6" s="38" t="n">
        <f aca="false">IFERROR(__xludf.dummyfunction("FILTER(FILTER('Data Scenarios 5-6'!$A$2:$CE$105,'Data Scenarios 5-6'!$A$1:$CE$1=""V_LED_2""),'Data Scenarios 5-6'!$B$2:$B$105=$A6,'Data Scenarios 5-6'!$C$2:$C$105=""All"",'Data Scenarios 5-6'!$D$2:$D$105=""Mean"")"),24.3144351666666)</f>
        <v>24.3144351666666</v>
      </c>
      <c r="S6" s="38" t="n">
        <f aca="false">IFERROR(__xludf.dummyfunction("FILTER(FILTER('Data Scenarios 5-6'!$A$2:$CE$105,'Data Scenarios 5-6'!$A$1:$CE$1=""I_LED_2""),'Data Scenarios 5-6'!$B$2:$B$105=$A6,'Data Scenarios 5-6'!$C$2:$C$105=""All"",'Data Scenarios 5-6'!$D$2:$D$105=""Mean"")"),1.23252045)</f>
        <v>1.23252045</v>
      </c>
      <c r="T6" s="65" t="n">
        <f aca="false">IFERROR(__xludf.dummyfunction("FILTER(FILTER('Data Scenarios 5-6'!$A$2:$CE$105,'Data Scenarios 5-6'!$A$1:$CE$1=""P_LED_2""),'Data Scenarios 5-6'!$B$2:$B$105=$A6,'Data Scenarios 5-6'!$C$2:$C$105=""All"",'Data Scenarios 5-6'!$D$2:$D$105=""Mean"")"),29.9678921666666)</f>
        <v>29.9678921666666</v>
      </c>
      <c r="U6" s="68" t="n">
        <f aca="false">R6*S6</f>
        <v>29.9680385731157</v>
      </c>
      <c r="V6" s="38" t="n">
        <f aca="false">IFERROR(__xludf.dummyfunction("FILTER(FILTER('Data Scenarios 5-6'!$A$2:$CE$105,'Data Scenarios 5-6'!$A$1:$CE$1=""V_LED_3""),'Data Scenarios 5-6'!$B$2:$B$105=$A6,'Data Scenarios 5-6'!$C$2:$C$105=""All"",'Data Scenarios 5-6'!$D$2:$D$105=""Mean"")"),24.3117984444444)</f>
        <v>24.3117984444444</v>
      </c>
      <c r="W6" s="38" t="n">
        <f aca="false">IFERROR(__xludf.dummyfunction("FILTER(FILTER('Data Scenarios 5-6'!$A$2:$CE$105,'Data Scenarios 5-6'!$A$1:$CE$1=""I_LED_3""),'Data Scenarios 5-6'!$B$2:$B$105=$A6,'Data Scenarios 5-6'!$C$2:$C$105=""All"",'Data Scenarios 5-6'!$D$2:$D$105=""Mean"")"),1.25918504722222)</f>
        <v>1.25918504722222</v>
      </c>
      <c r="X6" s="65" t="n">
        <f aca="false">IFERROR(__xludf.dummyfunction("FILTER(FILTER('Data Scenarios 5-6'!$A$2:$CE$105,'Data Scenarios 5-6'!$A$1:$CE$1=""P_LED_3""),'Data Scenarios 5-6'!$B$2:$B$105=$A6,'Data Scenarios 5-6'!$C$2:$C$105=""All"",'Data Scenarios 5-6'!$D$2:$D$105=""Mean"")"),30.6129317222222)</f>
        <v>30.6129317222222</v>
      </c>
      <c r="Y6" s="68" t="n">
        <f aca="false">V6*W6</f>
        <v>30.6130530723248</v>
      </c>
      <c r="Z6" s="38" t="n">
        <f aca="false">IFERROR(__xludf.dummyfunction("FILTER(FILTER('Data Scenarios 5-6'!$A$2:$CE$105,'Data Scenarios 5-6'!$A$1:$CE$1=""V_RESISTOR_1A""),'Data Scenarios 5-6'!$B$2:$B$105=$A6,'Data Scenarios 5-6'!$C$2:$C$105=""All"",'Data Scenarios 5-6'!$D$2:$D$105=""Mean"")"),24.2433661027777)</f>
        <v>24.2433661027777</v>
      </c>
      <c r="AA6" s="40" t="n">
        <v>6.907</v>
      </c>
      <c r="AB6" s="41" t="n">
        <f aca="false">IFERROR(__xludf.dummyfunction("FILTER(FILTER('Data Scenarios 5-6'!$A$2:$CE$105,'Data Scenarios 5-6'!$A$1:$CE$1=""P_RESISTOR_1A""),'Data Scenarios 5-6'!$B$2:$B$105=$A6,'Data Scenarios 5-6'!$C$2:$C$105=""All"",'Data Scenarios 5-6'!$D$2:$D$105=""Mean"")"),85.056555835988)</f>
        <v>85.056555835988</v>
      </c>
      <c r="AC6" s="39" t="n">
        <f aca="false">Z6^2/AA6</f>
        <v>85.0934993475186</v>
      </c>
      <c r="AD6" s="38" t="n">
        <f aca="false">IFERROR(__xludf.dummyfunction("FILTER(FILTER('Data Scenarios 5-6'!$A$2:$CE$105,'Data Scenarios 5-6'!$A$1:$CE$1=""V_RESISTOR_1B""),'Data Scenarios 5-6'!$B$2:$B$105=$A6,'Data Scenarios 5-6'!$C$2:$C$105=""All"",'Data Scenarios 5-6'!$D$2:$D$105=""Mean"")"),24.2591032583333)</f>
        <v>24.2591032583333</v>
      </c>
      <c r="AE6" s="40" t="n">
        <v>6.93</v>
      </c>
      <c r="AF6" s="41" t="n">
        <f aca="false">IFERROR(__xludf.dummyfunction("FILTER(FILTER('Data Scenarios 5-6'!$A$2:$CE$105,'Data Scenarios 5-6'!$A$1:$CE$1=""P_RESISTOR_1B""),'Data Scenarios 5-6'!$B$2:$B$105=$A6,'Data Scenarios 5-6'!$C$2:$C$105=""All"",'Data Scenarios 5-6'!$D$2:$D$105=""Mean"")"),84.9212252486532)</f>
        <v>84.9212252486532</v>
      </c>
      <c r="AG6" s="39" t="n">
        <f aca="false">AD6^2/AE6</f>
        <v>84.9212252378755</v>
      </c>
      <c r="AH6" s="38" t="n">
        <f aca="false">IFERROR(__xludf.dummyfunction("FILTER(FILTER('Data Scenarios 5-6'!$A$2:$CE$105,'Data Scenarios 5-6'!$A$1:$CE$1=""V_RESISTOR_1C""),'Data Scenarios 5-6'!$B$2:$B$105=$A6,'Data Scenarios 5-6'!$C$2:$C$105=""All"",'Data Scenarios 5-6'!$D$2:$D$105=""Mean"")"),24.2780879583333)</f>
        <v>24.2780879583333</v>
      </c>
      <c r="AI6" s="40" t="n">
        <v>6.881</v>
      </c>
      <c r="AJ6" s="41" t="n">
        <f aca="false">IFERROR(__xludf.dummyfunction("FILTER(FILTER('Data Scenarios 5-6'!$A$2:$CE$105,'Data Scenarios 5-6'!$A$1:$CE$1=""P_RESISTOR_1C""),'Data Scenarios 5-6'!$B$2:$B$105=$A6,'Data Scenarios 5-6'!$C$2:$C$105=""All"",'Data Scenarios 5-6'!$D$2:$D$105=""Mean"")"),85.6723190378528)</f>
        <v>85.6723190378528</v>
      </c>
      <c r="AK6" s="39" t="n">
        <f aca="false">AH6^2/AI6</f>
        <v>85.6598684657126</v>
      </c>
      <c r="AL6" s="38" t="n">
        <f aca="false">IFERROR(__xludf.dummyfunction("FILTER(FILTER('Data Scenarios 5-6'!$A$2:$CE$105,'Data Scenarios 5-6'!$A$1:$CE$1=""V_RESISTOR_1D""),'Data Scenarios 5-6'!$B$2:$B$105=$A6,'Data Scenarios 5-6'!$C$2:$C$105=""All"",'Data Scenarios 5-6'!$D$2:$D$105=""Mean"")"),24.2784438277777)</f>
        <v>24.2784438277777</v>
      </c>
      <c r="AM6" s="40" t="n">
        <v>7.199</v>
      </c>
      <c r="AN6" s="41" t="n">
        <f aca="false">IFERROR(__xludf.dummyfunction("FILTER(FILTER('Data Scenarios 5-6'!$A$2:$CE$105,'Data Scenarios 5-6'!$A$1:$CE$1=""P_RESISTOR_1D""),'Data Scenarios 5-6'!$B$2:$B$105=$A6,'Data Scenarios 5-6'!$C$2:$C$105=""All"",'Data Scenarios 5-6'!$D$2:$D$105=""Mean"")"),81.8670604053372)</f>
        <v>81.8670604053372</v>
      </c>
      <c r="AO6" s="39" t="n">
        <f aca="false">AL6^2/AM6</f>
        <v>81.8784323792967</v>
      </c>
      <c r="AP6" s="38" t="n">
        <f aca="false">IFERROR(__xludf.dummyfunction("FILTER(FILTER('Data Scenarios 5-6'!$A$2:$CE$105,'Data Scenarios 5-6'!$A$1:$CE$1=""V_RESISTOR_1E""),'Data Scenarios 5-6'!$B$2:$B$105=$A6,'Data Scenarios 5-6'!$C$2:$C$105=""All"",'Data Scenarios 5-6'!$D$2:$D$105=""Mean"")"),-0.000191944111111111)</f>
        <v>-0.000191944111111111</v>
      </c>
      <c r="AQ6" s="40"/>
      <c r="AR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5-6'!$D$2:$D$105=""Mean"")"),4.34372613858642E-027)</f>
        <v>4.34372613858642E-027</v>
      </c>
      <c r="AS6" s="42" t="n">
        <v>0</v>
      </c>
      <c r="AT6" s="38" t="n">
        <f aca="false">IFERROR(__xludf.dummyfunction("FILTER(FILTER('Data Scenarios 5-6'!$A$2:$CE$105,'Data Scenarios 5-6'!$A$1:$CE$1=""V_RESISTOR_1F""),'Data Scenarios 5-6'!$B$2:$B$105=$A6,'Data Scenarios 5-6'!$C$2:$C$105=""All"",'Data Scenarios 5-6'!$D$2:$D$105=""Mean"")"),-0.000236289025)</f>
        <v>-0.000236289025</v>
      </c>
      <c r="AU6" s="40"/>
      <c r="AV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5-6'!$D$2:$D$105=""Mean"")"),6.28158853178487E-027)</f>
        <v>6.28158853178487E-027</v>
      </c>
      <c r="AW6" s="42" t="n">
        <v>0</v>
      </c>
      <c r="AX6" s="38" t="n">
        <f aca="false">IFERROR(__xludf.dummyfunction("FILTER(FILTER('Data Scenarios 5-6'!$A$2:$CE$105,'Data Scenarios 5-6'!$A$1:$CE$1=""V_RESISTOR_1G""),'Data Scenarios 5-6'!$B$2:$B$105=$A6,'Data Scenarios 5-6'!$C$2:$C$105=""All"",'Data Scenarios 5-6'!$D$2:$D$105=""Mean"")"),-0.000248526263888888)</f>
        <v>-0.000248526263888888</v>
      </c>
      <c r="AY6" s="40"/>
      <c r="AZ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5-6'!$D$2:$D$105=""Mean"")"),6.87829454469166E-027)</f>
        <v>6.87829454469166E-027</v>
      </c>
      <c r="BA6" s="42" t="n">
        <v>0</v>
      </c>
      <c r="BB6" s="44" t="n">
        <f aca="false">IFERROR(__xludf.dummyfunction("FILTER(FILTER('Data Scenarios 5-6'!$A$2:$CE$105,'Data Scenarios 5-6'!$A$1:$CE$1=""P_In""),'Data Scenarios 5-6'!$B$2:$B$105=$A6,'Data Scenarios 5-6'!$C$2:$C$105=""All"",'Data Scenarios 5-6'!$D$2:$D$105=""Mean"")"),693.033576611111)</f>
        <v>693.033576611111</v>
      </c>
      <c r="BC6" s="44" t="n">
        <f aca="false">IFERROR(__xludf.dummyfunction("FILTER(FILTER('Data Scenarios 5-6'!$A$2:$CE$105,'Data Scenarios 5-6'!$A$1:$CE$1=""P_Secondary""),'Data Scenarios 5-6'!$B$2:$B$105=$A6,'Data Scenarios 5-6'!$C$2:$C$105=""All"",'Data Scenarios 5-6'!$D$2:$D$105=""Mean"")"),627.525542777777)</f>
        <v>627.525542777777</v>
      </c>
      <c r="BD6" s="45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BE6" s="46" t="n">
        <f aca="false">E6+I6+M6+Q6+U6+Y6+AC6+AG6+AK6+AO6+AS6+AW6+BA6</f>
        <v>552.167839821332</v>
      </c>
      <c r="BF6" s="45" t="n">
        <f aca="false">IFERROR(__xludf.dummyfunction("FILTER(FILTER('Data Scenarios 5-6'!$A$2:$CE$105,'Data Scenarios 5-6'!$A$1:$CE$1=""P_TransformerLoss""),'Data Scenarios 5-6'!$B$2:$B$105=$A6,'Data Scenarios 5-6'!$C$2:$C$105=""All"",'Data Scenarios 5-6'!$D$2:$D$105=""Mean"")"),65.5080338333333)</f>
        <v>65.5080338333333</v>
      </c>
      <c r="BG6" s="46" t="n">
        <f aca="false">BB6-BC6</f>
        <v>65.508033833334</v>
      </c>
      <c r="BH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5-6'!$D$2:$D$105=""Mean"")"),75.3941099083323)</f>
        <v>75.3941099083323</v>
      </c>
      <c r="BI6" s="46" t="n">
        <f aca="false">BC6-BE6</f>
        <v>75.3577029564453</v>
      </c>
      <c r="BJ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5-6'!$D$2:$D$105=""Mean"")"),140.902143741665)</f>
        <v>140.902143741665</v>
      </c>
      <c r="BK6" s="46" t="n">
        <f aca="false">BB6-BE6</f>
        <v>140.865736789779</v>
      </c>
      <c r="BL6" s="47" t="n">
        <f aca="false">IFERROR(__xludf.dummyfunction("FILTER(FILTER('Data Scenarios 5-6'!$A$2:$CE$105,'Data Scenarios 5-6'!$A$1:$CE$1=""V_LAPTOP_4_OUTPUT""),'Data Scenarios 5-6'!$B$2:$B$105=$A6,'Data Scenarios 5-6'!$C$2:$C$105=""All"",'Data Scenarios 5-6'!$D$2:$D$105=""Standard Deviation"")"),0.0021667200553408)</f>
        <v>0.0021667200553408</v>
      </c>
      <c r="BM6" s="48" t="n">
        <f aca="false">IFERROR(__xludf.dummyfunction("FILTER(FILTER('Data Scenarios 5-6'!$A$2:$CE$105,'Data Scenarios 5-6'!$A$1:$CE$1=""I_LAPTOP_4_OUTPUT""),'Data Scenarios 5-6'!$B$2:$B$105=$A6,'Data Scenarios 5-6'!$C$2:$C$105=""All"",'Data Scenarios 5-6'!$D$2:$D$105=""Standard Deviation"")"),0.000284176347887049)</f>
        <v>0.000284176347887049</v>
      </c>
      <c r="BN6" s="48" t="n">
        <f aca="false">IFERROR(__xludf.dummyfunction("FILTER(FILTER('Data Scenarios 5-6'!$A$2:$CE$105,'Data Scenarios 5-6'!$A$1:$CE$1=""V_LAPTOP_4_OUTPUT * I_LAPTOP_4_OUTPUT""),'Data Scenarios 5-6'!$B$2:$B$105=$A6,'Data Scenarios 5-6'!$C$2:$C$105=""All"",'Data Scenarios 5-6'!$D$2:$D$105=""Covariance"")"),-0.000268450732195785)</f>
        <v>-0.000268450732195785</v>
      </c>
      <c r="BO6" s="50" t="n">
        <f aca="false">IFERROR(__xludf.dummyfunction("FILTER(FILTER('Data Scenarios 5-6'!$A$2:$CE$105,'Data Scenarios 5-6'!$A$1:$CE$1=""P_LAPTOP_4_OUTPUT""),'Data Scenarios 5-6'!$B$2:$B$105=$A6,'Data Scenarios 5-6'!$C$2:$C$105=""All"",'Data Scenarios 5-6'!$D$2:$D$105=""Standard Deviation"")"),0.0051494305121077)</f>
        <v>0.0051494305121077</v>
      </c>
      <c r="BP6" s="153" t="n">
        <f aca="false">ABS(E6)*SQRT(MAX((BL6/B6)^2+(BM6/C6)^2+2*BN6/(B6*C6),0))</f>
        <v>0</v>
      </c>
      <c r="BQ6" s="47" t="n">
        <f aca="false">IFERROR(__xludf.dummyfunction("FILTER(FILTER('Data Scenarios 5-6'!$A$2:$CE$105,'Data Scenarios 5-6'!$A$1:$CE$1=""V_LAPTOP_5_OUTPUT""),'Data Scenarios 5-6'!$B$2:$B$105=$A6,'Data Scenarios 5-6'!$C$2:$C$105=""All"",'Data Scenarios 5-6'!$D$2:$D$105=""Standard Deviation"")"),0.00741096272070408)</f>
        <v>0.00741096272070408</v>
      </c>
      <c r="BR6" s="50" t="n">
        <f aca="false">IFERROR(__xludf.dummyfunction("FILTER(FILTER('Data Scenarios 5-6'!$A$2:$CE$105,'Data Scenarios 5-6'!$A$1:$CE$1=""I_LAPTOP_5_OUTPUT""),'Data Scenarios 5-6'!$B$2:$B$105=$A6,'Data Scenarios 5-6'!$C$2:$C$105=""All"",'Data Scenarios 5-6'!$D$2:$D$105=""Standard Deviation"")"),0.00157212452594807)</f>
        <v>0.00157212452594807</v>
      </c>
      <c r="BS6" s="49" t="n">
        <f aca="false">IFERROR(__xludf.dummyfunction("FILTER(FILTER('Data Scenarios 5-6'!$A$2:$CE$105,'Data Scenarios 5-6'!$A$1:$CE$1=""V_LAPTOP_5_OUTPUT * I_LAPTOP_5_OUTPUT""),'Data Scenarios 5-6'!$B$2:$B$105=$A6,'Data Scenarios 5-6'!$C$2:$C$105=""All"",'Data Scenarios 5-6'!$D$2:$D$105=""Covariance"")"),-0.000000235735831485652)</f>
        <v>-2.35735831485652E-007</v>
      </c>
      <c r="BT6" s="38" t="n">
        <f aca="false">IFERROR(__xludf.dummyfunction("FILTER(FILTER('Data Scenarios 5-6'!$A$2:$CE$105,'Data Scenarios 5-6'!$A$1:$CE$1=""P_LAPTOP_5_OUTPUT""),'Data Scenarios 5-6'!$B$2:$B$105=$A6,'Data Scenarios 5-6'!$C$2:$C$105=""All"",'Data Scenarios 5-6'!$D$2:$D$105=""Standard Deviation"")"),0.0444390600215748)</f>
        <v>0.0444390600215748</v>
      </c>
      <c r="BU6" s="71" t="n">
        <f aca="false">ABS(I6)*SQRT((BQ6/F6)^2+(BR6/G6)^2+2*BS6/(F6*G6))</f>
        <v>0.0327148602770217</v>
      </c>
      <c r="BV6" s="47" t="n">
        <f aca="false">IFERROR(__xludf.dummyfunction("FILTER(FILTER('Data Scenarios 5-6'!$A$2:$CE$105,'Data Scenarios 5-6'!$A$1:$CE$1=""V_LAPTOP_6_OUTPUT""),'Data Scenarios 5-6'!$B$2:$B$105=$A6,'Data Scenarios 5-6'!$C$2:$C$105=""All"",'Data Scenarios 5-6'!$D$2:$D$105=""Standard Deviation"")"),0.00474624996788669)</f>
        <v>0.00474624996788669</v>
      </c>
      <c r="BW6" s="50" t="n">
        <f aca="false">IFERROR(__xludf.dummyfunction("FILTER(FILTER('Data Scenarios 5-6'!$A$2:$CE$105,'Data Scenarios 5-6'!$A$1:$CE$1=""I_LAPTOP_6_OUTPUT""),'Data Scenarios 5-6'!$B$2:$B$105=$A6,'Data Scenarios 5-6'!$C$2:$C$105=""All"",'Data Scenarios 5-6'!$D$2:$D$105=""Standard Deviation"")"),0.00859078647708198)</f>
        <v>0.00859078647708198</v>
      </c>
      <c r="BX6" s="52" t="n">
        <f aca="false">IFERROR(__xludf.dummyfunction("FILTER(FILTER('Data Scenarios 5-6'!$A$2:$CE$105,'Data Scenarios 5-6'!$A$1:$CE$1=""V_LAPTOP_6_OUTPUT * I_LAPTOP_6_OUTPUT""),'Data Scenarios 5-6'!$B$2:$B$105=$A6,'Data Scenarios 5-6'!$C$2:$C$105=""All"",'Data Scenarios 5-6'!$D$2:$D$105=""Covariance"")"),0.0000000326065569562064)</f>
        <v>3.26065569562064E-008</v>
      </c>
      <c r="BY6" s="65" t="n">
        <f aca="false">IFERROR(__xludf.dummyfunction("FILTER(FILTER('Data Scenarios 5-6'!$A$2:$CE$105,'Data Scenarios 5-6'!$A$1:$CE$1=""P_LAPTOP_6_OUTPUT""),'Data Scenarios 5-6'!$B$2:$B$105=$A6,'Data Scenarios 5-6'!$C$2:$C$105=""All"",'Data Scenarios 5-6'!$D$2:$D$105=""Standard Deviation"")"),0.167306723869159)</f>
        <v>0.167306723869159</v>
      </c>
      <c r="BZ6" s="73" t="n">
        <f aca="false">ABS(M6)*SQRT((BV6/J6)^2+(BW6/K6)^2+2*BX6/(J6*K6))</f>
        <v>0.159091536280654</v>
      </c>
      <c r="CA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B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C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D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E6" s="73" t="n">
        <f aca="false">ABS(Q6)*SQRT((CA6/N6)^2+(CB6/O6)^2+2*CC6/(N6*O6))</f>
        <v>0.461196327618039</v>
      </c>
      <c r="CF6" s="47" t="n">
        <f aca="false">IFERROR(__xludf.dummyfunction("FILTER(FILTER('Data Scenarios 5-6'!$A$2:$CE$105,'Data Scenarios 5-6'!$A$1:$CE$1=""V_LED_2""),'Data Scenarios 5-6'!$B$2:$B$105=$A6,'Data Scenarios 5-6'!$C$2:$C$105=""All"",'Data Scenarios 5-6'!$D$2:$D$105=""Standard Deviation"")"),0.00190358669322119)</f>
        <v>0.00190358669322119</v>
      </c>
      <c r="CG6" s="38" t="n">
        <f aca="false">IFERROR(__xludf.dummyfunction("FILTER(FILTER('Data Scenarios 5-6'!$A$2:$CE$105,'Data Scenarios 5-6'!$A$1:$CE$1=""I_LED_2""),'Data Scenarios 5-6'!$B$2:$B$105=$A6,'Data Scenarios 5-6'!$C$2:$C$105=""All"",'Data Scenarios 5-6'!$D$2:$D$105=""Standard Deviation"")"),0.0200639585374149)</f>
        <v>0.0200639585374149</v>
      </c>
      <c r="CH6" s="70" t="n">
        <f aca="false">IFERROR(__xludf.dummyfunction("FILTER(FILTER('Data Scenarios 5-6'!$A$2:$CE$105,'Data Scenarios 5-6'!$A$1:$CE$1=""V_LED_2 * I_LED_2""),'Data Scenarios 5-6'!$B$2:$B$105=$A6,'Data Scenarios 5-6'!$C$2:$C$105=""All"",'Data Scenarios 5-6'!$D$2:$D$105=""Covariance"")"),0.0000765415209298512)</f>
        <v>7.65415209298512E-005</v>
      </c>
      <c r="CI6" s="65" t="n">
        <f aca="false">IFERROR(__xludf.dummyfunction("FILTER(FILTER('Data Scenarios 5-6'!$A$2:$CE$105,'Data Scenarios 5-6'!$A$1:$CE$1=""P_LED_2""),'Data Scenarios 5-6'!$B$2:$B$105=$A6,'Data Scenarios 5-6'!$C$2:$C$105=""All"",'Data Scenarios 5-6'!$D$2:$D$105=""Standard Deviation"")"),0.485538264990665)</f>
        <v>0.485538264990665</v>
      </c>
      <c r="CJ6" s="73" t="n">
        <f aca="false">ABS(U6)*SQRT((CF6/R6)^2+(CG6/S6)^2+2*CH6/(R6*S6))</f>
        <v>0.492528877308295</v>
      </c>
      <c r="CK6" s="59" t="n">
        <f aca="false">IFERROR(__xludf.dummyfunction("FILTER(FILTER('Data Scenarios 5-6'!$A$2:$CE$105,'Data Scenarios 5-6'!$A$1:$CE$1=""V_LED_1""),'Data Scenarios 5-6'!$B$2:$B$105=$A6,'Data Scenarios 5-6'!$C$2:$C$105=""All"",'Data Scenarios 5-6'!$D$2:$D$105=""Standard Deviation"")"),0.0138288502296341)</f>
        <v>0.0138288502296341</v>
      </c>
      <c r="CL6" s="38" t="n">
        <f aca="false">IFERROR(__xludf.dummyfunction("FILTER(FILTER('Data Scenarios 5-6'!$A$2:$CE$105,'Data Scenarios 5-6'!$A$1:$CE$1=""I_LED_1""),'Data Scenarios 5-6'!$B$2:$B$105=$A6,'Data Scenarios 5-6'!$C$2:$C$105=""All"",'Data Scenarios 5-6'!$D$2:$D$105=""Standard Deviation"")"),0.0189225698565947)</f>
        <v>0.0189225698565947</v>
      </c>
      <c r="CM6" s="70" t="n">
        <f aca="false">IFERROR(__xludf.dummyfunction("FILTER(FILTER('Data Scenarios 5-6'!$A$2:$CE$105,'Data Scenarios 5-6'!$A$1:$CE$1=""V_LED_1 * I_LED_1""),'Data Scenarios 5-6'!$B$2:$B$105=$A6,'Data Scenarios 5-6'!$C$2:$C$105=""All"",'Data Scenarios 5-6'!$D$2:$D$105=""Covariance"")"),0.0000541568972600848)</f>
        <v>5.41568972600848E-005</v>
      </c>
      <c r="CN6" s="65" t="n">
        <f aca="false">IFERROR(__xludf.dummyfunction("FILTER(FILTER('Data Scenarios 5-6'!$A$2:$CE$105,'Data Scenarios 5-6'!$A$1:$CE$1=""P_LED_1""),'Data Scenarios 5-6'!$B$2:$B$105=$A6,'Data Scenarios 5-6'!$C$2:$C$105=""All"",'Data Scenarios 5-6'!$D$2:$D$105=""Standard Deviation"")"),0.441351950081738)</f>
        <v>0.441351950081738</v>
      </c>
      <c r="CO6" s="73" t="n">
        <f aca="false">ABS(Y6)*SQRT((CK6/V6)^2+(CL6/W6)^2+2*CM6/(V6*W6))</f>
        <v>0.463958404532486</v>
      </c>
      <c r="CP6" s="50" t="n">
        <f aca="false">IFERROR(__xludf.dummyfunction("FILTER(FILTER('Data Scenarios 5-6'!$A$2:$CE$105,'Data Scenarios 5-6'!$A$1:$CE$1=""V_RESISTOR_1A""),'Data Scenarios 5-6'!$B$2:$B$105=$A6,'Data Scenarios 5-6'!$C$2:$C$105=""All"",'Data Scenarios 5-6'!$D$2:$D$105=""Standard Deviation"")"),0.00107239392561099)</f>
        <v>0.00107239392561099</v>
      </c>
      <c r="CQ6" s="40" t="n">
        <v>0.045</v>
      </c>
      <c r="CR6" s="50" t="n">
        <f aca="false">IFERROR(__xludf.dummyfunction("FILTER(FILTER('Data Scenarios 5-6'!$A$2:$CE$105,'Data Scenarios 5-6'!$A$1:$CE$1=""P_RESISTOR_1A""),'Data Scenarios 5-6'!$B$2:$B$105=$A6,'Data Scenarios 5-6'!$C$2:$C$105=""All"",'Data Scenarios 5-6'!$D$2:$D$105=""Standard Deviation"")"),0.00752483256694459)</f>
        <v>0.00752483256694459</v>
      </c>
      <c r="CS6" s="73" t="n">
        <f aca="false">SQRT(CP6^2*(2*Z6/AA6)^2+CQ6^2*(Z6^2/AA6^2)^2)</f>
        <v>0.554446284585253</v>
      </c>
      <c r="CT6" s="48" t="n">
        <f aca="false">IFERROR(__xludf.dummyfunction("FILTER(FILTER('Data Scenarios 5-6'!$A$2:$CE$105,'Data Scenarios 5-6'!$A$1:$CE$1=""V_RESISTOR_1B""),'Data Scenarios 5-6'!$B$2:$B$105=$A6,'Data Scenarios 5-6'!$C$2:$C$105=""All"",'Data Scenarios 5-6'!$D$2:$D$105=""Standard Deviation"")"),0.000292363399132649)</f>
        <v>0.000292363399132649</v>
      </c>
      <c r="CU6" s="40" t="n">
        <v>0.029</v>
      </c>
      <c r="CV6" s="50" t="n">
        <f aca="false">IFERROR(__xludf.dummyfunction("FILTER(FILTER('Data Scenarios 5-6'!$A$2:$CE$105,'Data Scenarios 5-6'!$A$1:$CE$1=""P_RESISTOR_1B""),'Data Scenarios 5-6'!$B$2:$B$105=$A6,'Data Scenarios 5-6'!$C$2:$C$105=""All"",'Data Scenarios 5-6'!$D$2:$D$105=""Standard Deviation"")"),0.00204688213763886)</f>
        <v>0.00204688213763886</v>
      </c>
      <c r="CW6" s="73" t="n">
        <f aca="false">SQRT(CT6^2*(2*AD6/AE6)^2+CU6^2*(AD6^2/AE6^2)^2)</f>
        <v>0.355376101495435</v>
      </c>
      <c r="CX6" s="48" t="n">
        <f aca="false">IFERROR(__xludf.dummyfunction("FILTER(FILTER('Data Scenarios 5-6'!$A$2:$CE$105,'Data Scenarios 5-6'!$A$1:$CE$1=""V_RESISTOR_1C""),'Data Scenarios 5-6'!$B$2:$B$105=$A6,'Data Scenarios 5-6'!$C$2:$C$105=""All"",'Data Scenarios 5-6'!$D$2:$D$105=""Standard Deviation"")"),0.000267830161123755)</f>
        <v>0.000267830161123755</v>
      </c>
      <c r="CY6" s="40" t="n">
        <v>0.029</v>
      </c>
      <c r="CZ6" s="50" t="n">
        <f aca="false">IFERROR(__xludf.dummyfunction("FILTER(FILTER('Data Scenarios 5-6'!$A$2:$CE$105,'Data Scenarios 5-6'!$A$1:$CE$1=""P_RESISTOR_1C""),'Data Scenarios 5-6'!$B$2:$B$105=$A6,'Data Scenarios 5-6'!$C$2:$C$105=""All"",'Data Scenarios 5-6'!$D$2:$D$105=""Standard Deviation"")"),0.00189022938934706)</f>
        <v>0.00189022938934706</v>
      </c>
      <c r="DA6" s="73" t="n">
        <f aca="false">SQRT(CX6^2*(2*AH6/AI6)^2+CY6^2*(AH6^2/AI6^2)^2)</f>
        <v>0.361018780161166</v>
      </c>
      <c r="DB6" s="48" t="n">
        <f aca="false">IFERROR(__xludf.dummyfunction("FILTER(FILTER('Data Scenarios 5-6'!$A$2:$CE$105,'Data Scenarios 5-6'!$A$1:$CE$1=""V_RESISTOR_1D""),'Data Scenarios 5-6'!$B$2:$B$105=$A6,'Data Scenarios 5-6'!$C$2:$C$105=""All"",'Data Scenarios 5-6'!$D$2:$D$105=""Standard Deviation"")"),0.000525031317604232)</f>
        <v>0.000525031317604232</v>
      </c>
      <c r="DC6" s="40" t="n">
        <v>0.049</v>
      </c>
      <c r="DD6" s="50" t="n">
        <f aca="false">IFERROR(__xludf.dummyfunction("FILTER(FILTER('Data Scenarios 5-6'!$A$2:$CE$105,'Data Scenarios 5-6'!$A$1:$CE$1=""P_RESISTOR_1D""),'Data Scenarios 5-6'!$B$2:$B$105=$A6,'Data Scenarios 5-6'!$C$2:$C$105=""All"",'Data Scenarios 5-6'!$D$2:$D$105=""Standard Deviation"")"),0.00354079136683396)</f>
        <v>0.00354079136683396</v>
      </c>
      <c r="DE6" s="73" t="n">
        <f aca="false">SQRT(DB6^2*(2*AL6/AM6)^2+DC6^2*(AL6^2/AM6^2)^2)</f>
        <v>0.55731687514663</v>
      </c>
      <c r="DF6" s="147" t="n">
        <f aca="false">IFERROR(__xludf.dummyfunction("FILTER(FILTER('Data Scenarios 5-6'!$A$2:$CE$105,'Data Scenarios 5-6'!$A$1:$CE$1=""V_RESISTOR_1E""),'Data Scenarios 5-6'!$B$2:$B$105=$A6,'Data Scenarios 5-6'!$C$2:$C$105=""All"",'Data Scenarios 5-6'!$D$2:$D$105=""Standard Deviation"")"),0.0000510067710350046)</f>
        <v>5.10067710350046E-005</v>
      </c>
      <c r="DG6" s="40"/>
      <c r="DH6" s="41" t="n">
        <f aca="false">IFERROR(__xludf.dummyfunction("FILTER(FILTER('Data Scenarios 5-6'!$A$2:$CE$105,'Data Scenarios 5-6'!$A$1:$CE$1=""P_RESISTOR_1E""),'Data Scenarios 5-6'!$B$2:$B$105=$A6,'Data Scenarios 5-6'!$C$2:$C$105=""All"",'Data Scenarios 5-6'!$D$2:$D$105=""Standard Deviation"")"),2.31174336755316E-027)</f>
        <v>2.31174336755316E-027</v>
      </c>
      <c r="DI6" s="150" t="n">
        <v>0</v>
      </c>
      <c r="DJ6" s="147" t="n">
        <f aca="false">IFERROR(__xludf.dummyfunction("FILTER(FILTER('Data Scenarios 5-6'!$A$2:$CE$105,'Data Scenarios 5-6'!$A$1:$CE$1=""V_RESISTOR_1F""),'Data Scenarios 5-6'!$B$2:$B$105=$A6,'Data Scenarios 5-6'!$C$2:$C$105=""All"",'Data Scenarios 5-6'!$D$2:$D$105=""Standard Deviation"")"),0.0000288927299523792)</f>
        <v>2.88927299523792E-005</v>
      </c>
      <c r="DK6" s="40"/>
      <c r="DL6" s="41" t="n">
        <f aca="false">IFERROR(__xludf.dummyfunction("FILTER(FILTER('Data Scenarios 5-6'!$A$2:$CE$105,'Data Scenarios 5-6'!$A$1:$CE$1=""P_RESISTOR_1F""),'Data Scenarios 5-6'!$B$2:$B$105=$A6,'Data Scenarios 5-6'!$C$2:$C$105=""All"",'Data Scenarios 5-6'!$D$2:$D$105=""Standard Deviation"")"),1.43687384432482E-027)</f>
        <v>1.43687384432482E-027</v>
      </c>
      <c r="DM6" s="150" t="n">
        <v>0</v>
      </c>
      <c r="DN6" s="147" t="n">
        <f aca="false">IFERROR(__xludf.dummyfunction("FILTER(FILTER('Data Scenarios 5-6'!$A$2:$CE$105,'Data Scenarios 5-6'!$A$1:$CE$1=""V_RESISTOR_1G""),'Data Scenarios 5-6'!$B$2:$B$105=$A6,'Data Scenarios 5-6'!$C$2:$C$105=""All"",'Data Scenarios 5-6'!$D$2:$D$105=""Standard Deviation"")"),0.00000978605536635809)</f>
        <v>9.78605536635809E-006</v>
      </c>
      <c r="DO6" s="40"/>
      <c r="DP6" s="41" t="n">
        <f aca="false">IFERROR(__xludf.dummyfunction("FILTER(FILTER('Data Scenarios 5-6'!$A$2:$CE$105,'Data Scenarios 5-6'!$A$1:$CE$1=""P_RESISTOR_1G""),'Data Scenarios 5-6'!$B$2:$B$105=$A6,'Data Scenarios 5-6'!$C$2:$C$105=""All"",'Data Scenarios 5-6'!$D$2:$D$105=""Standard Deviation"")"),5.32043488833883E-028)</f>
        <v>5.32043488833883E-028</v>
      </c>
      <c r="DQ6" s="150" t="n">
        <v>0</v>
      </c>
      <c r="DR6" s="44" t="n">
        <f aca="false">IFERROR(__xludf.dummyfunction("FILTER(FILTER('Data Scenarios 5-6'!$A$2:$CE$105,'Data Scenarios 5-6'!$A$1:$CE$1=""P_In""),'Data Scenarios 5-6'!$B$2:$B$105=$A6,'Data Scenarios 5-6'!$C$2:$C$105=""All"",'Data Scenarios 5-6'!$D$2:$D$105=""Standard Deviation"")"),0.596273892935119)</f>
        <v>0.596273892935119</v>
      </c>
      <c r="DS6" s="57" t="n">
        <f aca="false">IFERROR(__xludf.dummyfunction("FILTER(FILTER('Data Scenarios 5-6'!$A$2:$CE$105,'Data Scenarios 5-6'!$A$1:$CE$1=""P_Secondary""),'Data Scenarios 5-6'!$B$2:$B$105=$A6,'Data Scenarios 5-6'!$C$2:$C$105=""All"",'Data Scenarios 5-6'!$D$2:$D$105=""Standard Deviation"")"),0.602500612914293)</f>
        <v>0.602500612914293</v>
      </c>
      <c r="DT6" s="45" t="n">
        <f aca="false">IFERROR(__xludf.dummyfunction("FILTER(FILTER('Data Scenarios 5-6'!$A$2:$CE$105,'Data Scenarios 5-6'!$A$1:$CE$1=""P_Out""),'Data Scenarios 5-6'!$B$2:$B$105=$A6,'Data Scenarios 5-6'!$C$2:$C$105=""All"",'Data Scenarios 5-6'!$D$2:$D$105=""Standard Deviation"")"),1.22021893221999)</f>
        <v>1.22021893221999</v>
      </c>
      <c r="DU6" s="75" t="n">
        <f aca="false">SQRT(BO6^2+BT6^2+BY6^2+CD6^2+CI6^2+CN6^2+CS6^2+CW6^2+DA6^2+DE6^2+DI6^2+DM6^2+DQ6^2)</f>
        <v>1.23691668917144</v>
      </c>
      <c r="DV6" s="59" t="n">
        <f aca="false">IFERROR(__xludf.dummyfunction("FILTER(FILTER('Data Scenarios 5-6'!$A$2:$CE$105,'Data Scenarios 5-6'!$A$1:$CE$1=""P_TransformerLoss""),'Data Scenarios 5-6'!$B$2:$B$105=$A6,'Data Scenarios 5-6'!$C$2:$C$105=""All"",'Data Scenarios 5-6'!$D$2:$D$105=""Standard Deviation"")"),0.0549103979623077)</f>
        <v>0.0549103979623077</v>
      </c>
      <c r="DW6" s="62" t="n">
        <f aca="false">SQRT(DR6^2+DS6^2)</f>
        <v>0.847673017122817</v>
      </c>
      <c r="DX6" s="41" t="n">
        <f aca="false">IFERROR(__xludf.dummyfunction("FILTER(FILTER('Data Scenarios 5-6'!$A$2:$CE$105,'Data Scenarios 5-6'!$A$1:$CE$1=""P_ConverterLoss""),'Data Scenarios 5-6'!$B$2:$B$105=$A6,'Data Scenarios 5-6'!$C$2:$C$105=""All"",'Data Scenarios 5-6'!$D$2:$D$105=""Standard Deviation"")"),1.75720170780436)</f>
        <v>1.75720170780436</v>
      </c>
      <c r="DY6" s="75" t="n">
        <f aca="false">SQRT(DS6^2+MAX(DT6:DU6)^2)</f>
        <v>1.37585242105137</v>
      </c>
      <c r="DZ6" s="41" t="n">
        <f aca="false">IFERROR(__xludf.dummyfunction("FILTER(FILTER('Data Scenarios 5-6'!$A$2:$CE$105,'Data Scenarios 5-6'!$A$1:$CE$1=""P_SystemLoss""),'Data Scenarios 5-6'!$B$2:$B$105=$A6,'Data Scenarios 5-6'!$C$2:$C$105=""All"",'Data Scenarios 5-6'!$D$2:$D$105=""Standard Deviation"")"),1.72938206043221)</f>
        <v>1.72938206043221</v>
      </c>
      <c r="EA6" s="75" t="n">
        <f aca="false">SQRT(DR6^2+MAX(DT6:DU6)^2)</f>
        <v>1.37313708396024</v>
      </c>
      <c r="EB6" s="151" t="n">
        <v>690.077954591674</v>
      </c>
      <c r="EC6" s="152" t="n">
        <v>623.519921388928</v>
      </c>
      <c r="ED6" s="152" t="n">
        <v>66.5580332027462</v>
      </c>
      <c r="EE6" s="152" t="n">
        <v>71.3879213889276</v>
      </c>
      <c r="EF6" s="152" t="n">
        <v>137.945954591674</v>
      </c>
      <c r="EG6" s="45" t="n">
        <f aca="false">EB6-BB6</f>
        <v>-2.95562201943699</v>
      </c>
      <c r="EH6" s="65" t="n">
        <f aca="false">TINV(0.1,2)*DR6/SQRT(3)</f>
        <v>1.00523100229131</v>
      </c>
      <c r="EI6" s="66" t="n">
        <f aca="false">EG6/BB6</f>
        <v>-0.00426476020669848</v>
      </c>
      <c r="EJ6" s="67" t="n">
        <f aca="false">EH6/BB6</f>
        <v>0.00145047950953087</v>
      </c>
      <c r="EK6" s="45" t="n">
        <f aca="false">EC6-BC6</f>
        <v>-4.00562138884902</v>
      </c>
      <c r="EL6" s="65" t="n">
        <f aca="false">TINV(0.1,2)*DS6/SQRT(3)</f>
        <v>1.01572834594464</v>
      </c>
      <c r="EM6" s="66" t="n">
        <f aca="false">EK6/BC6</f>
        <v>-0.0063832005484875</v>
      </c>
      <c r="EN6" s="67" t="n">
        <f aca="false">EL6/BC6</f>
        <v>0.00161862470402155</v>
      </c>
      <c r="EO6" s="45" t="n">
        <f aca="false">ED6-BF6</f>
        <v>1.0499993694129</v>
      </c>
      <c r="EP6" s="65" t="n">
        <f aca="false">TINV(0.1,2)*DV6/SQRT(3)</f>
        <v>0.0925709393516432</v>
      </c>
      <c r="EQ6" s="66" t="n">
        <f aca="false">EO6/BF6</f>
        <v>0.0160285587579125</v>
      </c>
      <c r="ER6" s="66" t="n">
        <f aca="false">EP6/BF6</f>
        <v>0.00141312345882894</v>
      </c>
      <c r="ES6" s="45" t="n">
        <f aca="false">EE6-BH6</f>
        <v>-4.0061885194047</v>
      </c>
      <c r="ET6" s="65" t="n">
        <f aca="false">TINV(0.1,2)*MAX(DX6,DY6)/SQRT(3)</f>
        <v>2.96238633771003</v>
      </c>
      <c r="EU6" s="66" t="n">
        <f aca="false">ES6/BH6</f>
        <v>-0.0531366246551039</v>
      </c>
      <c r="EV6" s="67" t="n">
        <f aca="false">ET6/BH6</f>
        <v>0.0392920128815347</v>
      </c>
      <c r="EW6" s="45" t="n">
        <f aca="false">EF6-BJ6</f>
        <v>-2.95618914999099</v>
      </c>
      <c r="EX6" s="65" t="n">
        <f aca="false">TINV(0.1,2)*MAX(DZ6,EA6)/SQRT(3)</f>
        <v>2.9154864610885</v>
      </c>
      <c r="EY6" s="66" t="n">
        <f aca="false">EW6/BJ6</f>
        <v>-0.020980441258658</v>
      </c>
      <c r="EZ6" s="66" t="n">
        <f aca="false">EX6/BJ6</f>
        <v>0.0206915692243395</v>
      </c>
    </row>
    <row r="7" customFormat="false" ht="12.75" hidden="false" customHeight="false" outlineLevel="0" collapsed="false">
      <c r="A7" s="37" t="n">
        <v>5.4</v>
      </c>
      <c r="B7" s="38" t="n">
        <f aca="false">IFERROR(__xludf.dummyfunction("FILTER(FILTER('Data Scenarios 5-6'!$A$2:$CE$105,'Data Scenarios 5-6'!$A$1:$CE$1=""V_LAPTOP_4_OUTPUT""),'Data Scenarios 5-6'!$B$2:$B$105=$A7,'Data Scenarios 5-6'!$C$2:$C$105=""All"",'Data Scenarios 5-6'!$D$2:$D$105=""Mean"")"),18.1167578055555)</f>
        <v>18.1167578055555</v>
      </c>
      <c r="C7" s="38" t="n">
        <f aca="false">IFERROR(__xludf.dummyfunction("FILTER(FILTER('Data Scenarios 5-6'!$A$2:$CE$105,'Data Scenarios 5-6'!$A$1:$CE$1=""I_LAPTOP_4_OUTPUT""),'Data Scenarios 5-6'!$B$2:$B$105=$A7,'Data Scenarios 5-6'!$C$2:$C$105=""All"",'Data Scenarios 5-6'!$D$2:$D$105=""Mean"")"),4.0761986797875)</f>
        <v>4.0761986797875</v>
      </c>
      <c r="D7" s="65" t="n">
        <f aca="false">IFERROR(__xludf.dummyfunction("FILTER(FILTER('Data Scenarios 5-6'!$A$2:$CE$105,'Data Scenarios 5-6'!$A$1:$CE$1=""P_LAPTOP_4_OUTPUT""),'Data Scenarios 5-6'!$B$2:$B$105=$A7,'Data Scenarios 5-6'!$C$2:$C$105=""All"",'Data Scenarios 5-6'!$D$2:$D$105=""Mean"")"),73.8475094031976)</f>
        <v>73.8475094031976</v>
      </c>
      <c r="E7" s="68" t="n">
        <f aca="false">B7*C7</f>
        <v>73.8475042490352</v>
      </c>
      <c r="F7" s="38" t="n">
        <f aca="false">IFERROR(__xludf.dummyfunction("FILTER(FILTER('Data Scenarios 5-6'!$A$2:$CE$105,'Data Scenarios 5-6'!$A$1:$CE$1=""V_LAPTOP_5_OUTPUT""),'Data Scenarios 5-6'!$B$2:$B$105=$A7,'Data Scenarios 5-6'!$C$2:$C$105=""All"",'Data Scenarios 5-6'!$D$2:$D$105=""Mean"")"),17.929715725)</f>
        <v>17.929715725</v>
      </c>
      <c r="G7" s="38" t="n">
        <f aca="false">IFERROR(__xludf.dummyfunction("FILTER(FILTER('Data Scenarios 5-6'!$A$2:$CE$105,'Data Scenarios 5-6'!$A$1:$CE$1=""I_LAPTOP_5_OUTPUT""),'Data Scenarios 5-6'!$B$2:$B$105=$A7,'Data Scenarios 5-6'!$C$2:$C$105=""All"",'Data Scenarios 5-6'!$D$2:$D$105=""Mean"")"),3.96099048202948)</f>
        <v>3.96099048202948</v>
      </c>
      <c r="H7" s="65" t="n">
        <f aca="false">IFERROR(__xludf.dummyfunction("FILTER(FILTER('Data Scenarios 5-6'!$A$2:$CE$105,'Data Scenarios 5-6'!$A$1:$CE$1=""P_LAPTOP_5_OUTPUT""),'Data Scenarios 5-6'!$B$2:$B$105=$A7,'Data Scenarios 5-6'!$C$2:$C$105=""All"",'Data Scenarios 5-6'!$D$2:$D$105=""Mean"")"),71.0194337190946)</f>
        <v>71.0194337190946</v>
      </c>
      <c r="I7" s="68" t="n">
        <f aca="false">F7*G7</f>
        <v>71.0194333322193</v>
      </c>
      <c r="J7" s="38" t="n">
        <f aca="false">IFERROR(__xludf.dummyfunction("FILTER(FILTER('Data Scenarios 5-6'!$A$2:$CE$105,'Data Scenarios 5-6'!$A$1:$CE$1=""V_LAPTOP_6_OUTPUT""),'Data Scenarios 5-6'!$B$2:$B$105=$A7,'Data Scenarios 5-6'!$C$2:$C$105=""All"",'Data Scenarios 5-6'!$D$2:$D$105=""Mean"")"),18.1799588027777)</f>
        <v>18.1799588027777</v>
      </c>
      <c r="K7" s="38" t="n">
        <f aca="false">IFERROR(__xludf.dummyfunction("FILTER(FILTER('Data Scenarios 5-6'!$A$2:$CE$105,'Data Scenarios 5-6'!$A$1:$CE$1=""I_LAPTOP_6_OUTPUT""),'Data Scenarios 5-6'!$B$2:$B$105=$A7,'Data Scenarios 5-6'!$C$2:$C$105=""All"",'Data Scenarios 5-6'!$D$2:$D$105=""Mean"")"),3.93998245883119)</f>
        <v>3.93998245883119</v>
      </c>
      <c r="L7" s="65" t="n">
        <f aca="false">IFERROR(__xludf.dummyfunction("FILTER(FILTER('Data Scenarios 5-6'!$A$2:$CE$105,'Data Scenarios 5-6'!$A$1:$CE$1=""P_LAPTOP_6_OUTPUT""),'Data Scenarios 5-6'!$B$2:$B$105=$A7,'Data Scenarios 5-6'!$C$2:$C$105=""All"",'Data Scenarios 5-6'!$D$2:$D$105=""Mean"")"),71.6287077585153)</f>
        <v>71.6287077585153</v>
      </c>
      <c r="M7" s="68" t="n">
        <f aca="false">J7*K7</f>
        <v>71.6287187852178</v>
      </c>
      <c r="N7" s="38" t="n">
        <f aca="false">IFERROR(__xludf.dummyfunction("FILTER(FILTER('Data Scenarios 5-6'!$A$2:$CE$105,'Data Scenarios 5-6'!$A$1:$CE$1=""V_LED_1""),'Data Scenarios 5-6'!$B$2:$B$105=$A7,'Data Scenarios 5-6'!$C$2:$C$105=""All"",'Data Scenarios 5-6'!$D$2:$D$105=""Mean"")"),24.0125841666666)</f>
        <v>24.0125841666666</v>
      </c>
      <c r="O7" s="38" t="n">
        <f aca="false">IFERROR(__xludf.dummyfunction("FILTER(FILTER('Data Scenarios 5-6'!$A$2:$CE$105,'Data Scenarios 5-6'!$A$1:$CE$1=""I_LED_1""),'Data Scenarios 5-6'!$B$2:$B$105=$A7,'Data Scenarios 5-6'!$C$2:$C$105=""All"",'Data Scenarios 5-6'!$D$2:$D$105=""Mean"")"),1.23009206388888)</f>
        <v>1.23009206388888</v>
      </c>
      <c r="P7" s="65" t="n">
        <f aca="false">IFERROR(__xludf.dummyfunction("FILTER(FILTER('Data Scenarios 5-6'!$A$2:$CE$105,'Data Scenarios 5-6'!$A$1:$CE$1=""P_LED_1""),'Data Scenarios 5-6'!$B$2:$B$105=$A7,'Data Scenarios 5-6'!$C$2:$C$105=""All"",'Data Scenarios 5-6'!$D$2:$D$105=""Mean"")"),29.5374696111111)</f>
        <v>29.5374696111111</v>
      </c>
      <c r="Q7" s="68" t="n">
        <f aca="false">N7*O7</f>
        <v>29.5376892168804</v>
      </c>
      <c r="R7" s="38" t="n">
        <f aca="false">IFERROR(__xludf.dummyfunction("FILTER(FILTER('Data Scenarios 5-6'!$A$2:$CE$105,'Data Scenarios 5-6'!$A$1:$CE$1=""V_LED_2""),'Data Scenarios 5-6'!$B$2:$B$105=$A7,'Data Scenarios 5-6'!$C$2:$C$105=""All"",'Data Scenarios 5-6'!$D$2:$D$105=""Mean"")"),24.22396075)</f>
        <v>24.22396075</v>
      </c>
      <c r="S7" s="38" t="n">
        <f aca="false">IFERROR(__xludf.dummyfunction("FILTER(FILTER('Data Scenarios 5-6'!$A$2:$CE$105,'Data Scenarios 5-6'!$A$1:$CE$1=""I_LED_2""),'Data Scenarios 5-6'!$B$2:$B$105=$A7,'Data Scenarios 5-6'!$C$2:$C$105=""All"",'Data Scenarios 5-6'!$D$2:$D$105=""Mean"")"),1.23708301111111)</f>
        <v>1.23708301111111</v>
      </c>
      <c r="T7" s="65" t="n">
        <f aca="false">IFERROR(__xludf.dummyfunction("FILTER(FILTER('Data Scenarios 5-6'!$A$2:$CE$105,'Data Scenarios 5-6'!$A$1:$CE$1=""P_LED_2""),'Data Scenarios 5-6'!$B$2:$B$105=$A7,'Data Scenarios 5-6'!$C$2:$C$105=""All"",'Data Scenarios 5-6'!$D$2:$D$105=""Mean"")"),29.9669263888888)</f>
        <v>29.9669263888888</v>
      </c>
      <c r="U7" s="68" t="n">
        <f aca="false">R7*S7</f>
        <v>29.9670503056473</v>
      </c>
      <c r="V7" s="38" t="n">
        <f aca="false">IFERROR(__xludf.dummyfunction("FILTER(FILTER('Data Scenarios 5-6'!$A$2:$CE$105,'Data Scenarios 5-6'!$A$1:$CE$1=""V_LED_3""),'Data Scenarios 5-6'!$B$2:$B$105=$A7,'Data Scenarios 5-6'!$C$2:$C$105=""All"",'Data Scenarios 5-6'!$D$2:$D$105=""Mean"")"),24.2228878055555)</f>
        <v>24.2228878055555</v>
      </c>
      <c r="W7" s="38" t="n">
        <f aca="false">IFERROR(__xludf.dummyfunction("FILTER(FILTER('Data Scenarios 5-6'!$A$2:$CE$105,'Data Scenarios 5-6'!$A$1:$CE$1=""I_LED_3""),'Data Scenarios 5-6'!$B$2:$B$105=$A7,'Data Scenarios 5-6'!$C$2:$C$105=""All"",'Data Scenarios 5-6'!$D$2:$D$105=""Mean"")"),1.23829024722222)</f>
        <v>1.23829024722222</v>
      </c>
      <c r="X7" s="65" t="n">
        <f aca="false">IFERROR(__xludf.dummyfunction("FILTER(FILTER('Data Scenarios 5-6'!$A$2:$CE$105,'Data Scenarios 5-6'!$A$1:$CE$1=""P_LED_3""),'Data Scenarios 5-6'!$B$2:$B$105=$A7,'Data Scenarios 5-6'!$C$2:$C$105=""All"",'Data Scenarios 5-6'!$D$2:$D$105=""Mean"")"),29.9948602222222)</f>
        <v>29.9948602222222</v>
      </c>
      <c r="Y7" s="68" t="n">
        <f aca="false">V7*W7</f>
        <v>29.9949657291774</v>
      </c>
      <c r="Z7" s="38" t="n">
        <f aca="false">IFERROR(__xludf.dummyfunction("FILTER(FILTER('Data Scenarios 5-6'!$A$2:$CE$105,'Data Scenarios 5-6'!$A$1:$CE$1=""V_RESISTOR_1A""),'Data Scenarios 5-6'!$B$2:$B$105=$A7,'Data Scenarios 5-6'!$C$2:$C$105=""All"",'Data Scenarios 5-6'!$D$2:$D$105=""Mean"")"),24.1573288166666)</f>
        <v>24.1573288166666</v>
      </c>
      <c r="AA7" s="40" t="n">
        <v>6.907</v>
      </c>
      <c r="AB7" s="41" t="n">
        <f aca="false">IFERROR(__xludf.dummyfunction("FILTER(FILTER('Data Scenarios 5-6'!$A$2:$CE$105,'Data Scenarios 5-6'!$A$1:$CE$1=""P_RESISTOR_1A""),'Data Scenarios 5-6'!$B$2:$B$105=$A7,'Data Scenarios 5-6'!$C$2:$C$105=""All"",'Data Scenarios 5-6'!$D$2:$D$105=""Mean"")"),84.453912645321)</f>
        <v>84.453912645321</v>
      </c>
      <c r="AC7" s="39" t="n">
        <f aca="false">Z7^2/AA7</f>
        <v>84.490594405176</v>
      </c>
      <c r="AD7" s="38" t="n">
        <f aca="false">IFERROR(__xludf.dummyfunction("FILTER(FILTER('Data Scenarios 5-6'!$A$2:$CE$105,'Data Scenarios 5-6'!$A$1:$CE$1=""V_RESISTOR_1B""),'Data Scenarios 5-6'!$B$2:$B$105=$A7,'Data Scenarios 5-6'!$C$2:$C$105=""All"",'Data Scenarios 5-6'!$D$2:$D$105=""Mean"")"),24.1741426472222)</f>
        <v>24.1741426472222</v>
      </c>
      <c r="AE7" s="40" t="n">
        <v>6.93</v>
      </c>
      <c r="AF7" s="41" t="n">
        <f aca="false">IFERROR(__xludf.dummyfunction("FILTER(FILTER('Data Scenarios 5-6'!$A$2:$CE$105,'Data Scenarios 5-6'!$A$1:$CE$1=""P_RESISTOR_1B""),'Data Scenarios 5-6'!$B$2:$B$105=$A7,'Data Scenarios 5-6'!$C$2:$C$105=""All"",'Data Scenarios 5-6'!$D$2:$D$105=""Mean"")"),84.3274419626901)</f>
        <v>84.3274419626901</v>
      </c>
      <c r="AG7" s="39" t="n">
        <f aca="false">AD7^2/AE7</f>
        <v>84.327441952128</v>
      </c>
      <c r="AH7" s="38" t="n">
        <f aca="false">IFERROR(__xludf.dummyfunction("FILTER(FILTER('Data Scenarios 5-6'!$A$2:$CE$105,'Data Scenarios 5-6'!$A$1:$CE$1=""V_RESISTOR_1C""),'Data Scenarios 5-6'!$B$2:$B$105=$A7,'Data Scenarios 5-6'!$C$2:$C$105=""All"",'Data Scenarios 5-6'!$D$2:$D$105=""Mean"")"),24.1949914305555)</f>
        <v>24.1949914305555</v>
      </c>
      <c r="AI7" s="40" t="n">
        <v>6.881</v>
      </c>
      <c r="AJ7" s="41" t="n">
        <f aca="false">IFERROR(__xludf.dummyfunction("FILTER(FILTER('Data Scenarios 5-6'!$A$2:$CE$105,'Data Scenarios 5-6'!$A$1:$CE$1=""P_RESISTOR_1C""),'Data Scenarios 5-6'!$B$2:$B$105=$A7,'Data Scenarios 5-6'!$C$2:$C$105=""All"",'Data Scenarios 5-6'!$D$2:$D$105=""Mean"")"),85.0868619792069)</f>
        <v>85.0868619792069</v>
      </c>
      <c r="AK7" s="39" t="n">
        <f aca="false">AH7^2/AI7</f>
        <v>85.0744964866523</v>
      </c>
      <c r="AL7" s="38" t="n">
        <f aca="false">IFERROR(__xludf.dummyfunction("FILTER(FILTER('Data Scenarios 5-6'!$A$2:$CE$105,'Data Scenarios 5-6'!$A$1:$CE$1=""V_RESISTOR_1D""),'Data Scenarios 5-6'!$B$2:$B$105=$A7,'Data Scenarios 5-6'!$C$2:$C$105=""All"",'Data Scenarios 5-6'!$D$2:$D$105=""Mean"")"),24.1903160027777)</f>
        <v>24.1903160027777</v>
      </c>
      <c r="AM7" s="40" t="n">
        <v>7.199</v>
      </c>
      <c r="AN7" s="41" t="n">
        <f aca="false">IFERROR(__xludf.dummyfunction("FILTER(FILTER('Data Scenarios 5-6'!$A$2:$CE$105,'Data Scenarios 5-6'!$A$1:$CE$1=""P_RESISTOR_1D""),'Data Scenarios 5-6'!$B$2:$B$105=$A7,'Data Scenarios 5-6'!$C$2:$C$105=""All"",'Data Scenarios 5-6'!$D$2:$D$105=""Mean"")"),81.2738039764132)</f>
        <v>81.2738039764132</v>
      </c>
      <c r="AO7" s="39" t="n">
        <f aca="false">AL7^2/AM7</f>
        <v>81.2850935288572</v>
      </c>
      <c r="AP7" s="38" t="n">
        <f aca="false">IFERROR(__xludf.dummyfunction("FILTER(FILTER('Data Scenarios 5-6'!$A$2:$CE$105,'Data Scenarios 5-6'!$A$1:$CE$1=""V_RESISTOR_1E""),'Data Scenarios 5-6'!$B$2:$B$105=$A7,'Data Scenarios 5-6'!$C$2:$C$105=""All"",'Data Scenarios 5-6'!$D$2:$D$105=""Mean"")"),24.1766374166666)</f>
        <v>24.1766374166666</v>
      </c>
      <c r="AQ7" s="40" t="n">
        <v>7.04</v>
      </c>
      <c r="AR7" s="41" t="n">
        <f aca="false">IFERROR(__xludf.dummyfunction("FILTER(FILTER('Data Scenarios 5-6'!$A$2:$CE$105,'Data Scenarios 5-6'!$A$1:$CE$1=""P_RESISTOR_1E""),'Data Scenarios 5-6'!$B$2:$B$105=$A7,'Data Scenarios 5-6'!$C$2:$C$105=""All"",'Data Scenarios 5-6'!$D$2:$D$105=""Mean"")"),83.0269598124235)</f>
        <v>83.0269598124235</v>
      </c>
      <c r="AS7" s="39" t="n">
        <f aca="false">AP7^2/AQ7</f>
        <v>83.026959769455</v>
      </c>
      <c r="AT7" s="38" t="n">
        <f aca="false">IFERROR(__xludf.dummyfunction("FILTER(FILTER('Data Scenarios 5-6'!$A$2:$CE$105,'Data Scenarios 5-6'!$A$1:$CE$1=""V_RESISTOR_1F""),'Data Scenarios 5-6'!$B$2:$B$105=$A7,'Data Scenarios 5-6'!$C$2:$C$105=""All"",'Data Scenarios 5-6'!$D$2:$D$105=""Mean"")"),24.1820367555555)</f>
        <v>24.1820367555555</v>
      </c>
      <c r="AU7" s="40" t="n">
        <v>7.413</v>
      </c>
      <c r="AV7" s="41" t="n">
        <f aca="false">IFERROR(__xludf.dummyfunction("FILTER(FILTER('Data Scenarios 5-6'!$A$2:$CE$105,'Data Scenarios 5-6'!$A$1:$CE$1=""P_RESISTOR_1F""),'Data Scenarios 5-6'!$B$2:$B$105=$A7,'Data Scenarios 5-6'!$C$2:$C$105=""All"",'Data Scenarios 5-6'!$D$2:$D$105=""Mean"")"),78.9164509765364)</f>
        <v>78.9164509765364</v>
      </c>
      <c r="AW7" s="39" t="n">
        <f aca="false">AT7^2/AU7</f>
        <v>78.8845139143447</v>
      </c>
      <c r="AX7" s="38" t="n">
        <f aca="false">IFERROR(__xludf.dummyfunction("FILTER(FILTER('Data Scenarios 5-6'!$A$2:$CE$105,'Data Scenarios 5-6'!$A$1:$CE$1=""V_RESISTOR_1G""),'Data Scenarios 5-6'!$B$2:$B$105=$A7,'Data Scenarios 5-6'!$C$2:$C$105=""All"",'Data Scenarios 5-6'!$D$2:$D$105=""Mean"")"),24.1861683027777)</f>
        <v>24.1861683027777</v>
      </c>
      <c r="AY7" s="40" t="n">
        <v>7.218</v>
      </c>
      <c r="AZ7" s="41" t="n">
        <f aca="false">IFERROR(__xludf.dummyfunction("FILTER(FILTER('Data Scenarios 5-6'!$A$2:$CE$105,'Data Scenarios 5-6'!$A$1:$CE$1=""P_RESISTOR_1G""),'Data Scenarios 5-6'!$B$2:$B$105=$A7,'Data Scenarios 5-6'!$C$2:$C$105=""All"",'Data Scenarios 5-6'!$D$2:$D$105=""Mean"")"),81.0208778213772)</f>
        <v>81.0208778213772</v>
      </c>
      <c r="BA7" s="39" t="n">
        <f aca="false">AX7^2/AY7</f>
        <v>81.0433273995966</v>
      </c>
      <c r="BB7" s="44" t="n">
        <f aca="false">IFERROR(__xludf.dummyfunction("FILTER(FILTER('Data Scenarios 5-6'!$A$2:$CE$105,'Data Scenarios 5-6'!$A$1:$CE$1=""P_In""),'Data Scenarios 5-6'!$B$2:$B$105=$A7,'Data Scenarios 5-6'!$C$2:$C$105=""All"",'Data Scenarios 5-6'!$D$2:$D$105=""Mean"")"),1081.14218627777)</f>
        <v>1081.14218627777</v>
      </c>
      <c r="BC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5-6'!$D$2:$D$105=""Mean"")"),992.875805555555)</f>
        <v>992.875805555555</v>
      </c>
      <c r="BD7" s="45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BE7" s="46" t="n">
        <f aca="false">E7+I7+M7+Q7+U7+Y7+AC7+AG7+AK7+AO7+AS7+AW7+BA7</f>
        <v>884.127789074387</v>
      </c>
      <c r="BF7" s="45" t="n">
        <f aca="false">IFERROR(__xludf.dummyfunction("FILTER(FILTER('Data Scenarios 5-6'!$A$2:$CE$105,'Data Scenarios 5-6'!$A$1:$CE$1=""P_TransformerLoss""),'Data Scenarios 5-6'!$B$2:$B$105=$A7,'Data Scenarios 5-6'!$C$2:$C$105=""All"",'Data Scenarios 5-6'!$D$2:$D$105=""Mean"")"),88.2663807222222)</f>
        <v>88.2663807222222</v>
      </c>
      <c r="BG7" s="46" t="n">
        <f aca="false">BB7-BC7</f>
        <v>88.266380722215</v>
      </c>
      <c r="BH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5-6'!$D$2:$D$105=""Mean"")"),108.774589278557)</f>
        <v>108.774589278557</v>
      </c>
      <c r="BI7" s="46" t="n">
        <f aca="false">BC7-BE7</f>
        <v>108.748016481168</v>
      </c>
      <c r="BJ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5-6'!$D$2:$D$105=""Mean"")"),197.040970000779)</f>
        <v>197.040970000779</v>
      </c>
      <c r="BK7" s="46" t="n">
        <f aca="false">BB7-BE7</f>
        <v>197.014397203383</v>
      </c>
      <c r="BL7" s="47" t="n">
        <f aca="false">IFERROR(__xludf.dummyfunction("FILTER(FILTER('Data Scenarios 5-6'!$A$2:$CE$105,'Data Scenarios 5-6'!$A$1:$CE$1=""V_LAPTOP_4_OUTPUT""),'Data Scenarios 5-6'!$B$2:$B$105=$A7,'Data Scenarios 5-6'!$C$2:$C$105=""All"",'Data Scenarios 5-6'!$D$2:$D$105=""Standard Deviation"")"),0.00549735784880277)</f>
        <v>0.00549735784880277</v>
      </c>
      <c r="BM7" s="50" t="n">
        <f aca="false">IFERROR(__xludf.dummyfunction("FILTER(FILTER('Data Scenarios 5-6'!$A$2:$CE$105,'Data Scenarios 5-6'!$A$1:$CE$1=""I_LAPTOP_4_OUTPUT""),'Data Scenarios 5-6'!$B$2:$B$105=$A7,'Data Scenarios 5-6'!$C$2:$C$105=""All"",'Data Scenarios 5-6'!$D$2:$D$105=""Standard Deviation"")"),0.00143207914567839)</f>
        <v>0.00143207914567839</v>
      </c>
      <c r="BN7" s="50" t="n">
        <f aca="false">IFERROR(__xludf.dummyfunction("FILTER(FILTER('Data Scenarios 5-6'!$A$2:$CE$105,'Data Scenarios 5-6'!$A$1:$CE$1=""V_LAPTOP_4_OUTPUT * I_LAPTOP_4_OUTPUT""),'Data Scenarios 5-6'!$B$2:$B$105=$A7,'Data Scenarios 5-6'!$C$2:$C$105=""All"",'Data Scenarios 5-6'!$D$2:$D$105=""Covariance"")"),-0.00131837060272059)</f>
        <v>-0.00131837060272059</v>
      </c>
      <c r="BO7" s="38" t="n">
        <f aca="false">IFERROR(__xludf.dummyfunction("FILTER(FILTER('Data Scenarios 5-6'!$A$2:$CE$105,'Data Scenarios 5-6'!$A$1:$CE$1=""P_LAPTOP_4_OUTPUT""),'Data Scenarios 5-6'!$B$2:$B$105=$A7,'Data Scenarios 5-6'!$C$2:$C$105=""All"",'Data Scenarios 5-6'!$D$2:$D$105=""Standard Deviation"")"),0.0472515514232406)</f>
        <v>0.0472515514232406</v>
      </c>
      <c r="BP7" s="153" t="n">
        <f aca="false">ABS(E7)*SQRT(MAX((BL7/B7)^2+(BM7/C7)^2+2*BN7/(B7*C7),0))</f>
        <v>0</v>
      </c>
      <c r="BQ7" s="47" t="n">
        <f aca="false">IFERROR(__xludf.dummyfunction("FILTER(FILTER('Data Scenarios 5-6'!$A$2:$CE$105,'Data Scenarios 5-6'!$A$1:$CE$1=""V_LAPTOP_5_OUTPUT""),'Data Scenarios 5-6'!$B$2:$B$105=$A7,'Data Scenarios 5-6'!$C$2:$C$105=""All"",'Data Scenarios 5-6'!$D$2:$D$105=""Standard Deviation"")"),0.00149790197062642)</f>
        <v>0.00149790197062642</v>
      </c>
      <c r="BR7" s="50" t="n">
        <f aca="false">IFERROR(__xludf.dummyfunction("FILTER(FILTER('Data Scenarios 5-6'!$A$2:$CE$105,'Data Scenarios 5-6'!$A$1:$CE$1=""I_LAPTOP_5_OUTPUT""),'Data Scenarios 5-6'!$B$2:$B$105=$A7,'Data Scenarios 5-6'!$C$2:$C$105=""All"",'Data Scenarios 5-6'!$D$2:$D$105=""Standard Deviation"")"),0.00196257172180557)</f>
        <v>0.00196257172180557</v>
      </c>
      <c r="BS7" s="72" t="n">
        <f aca="false">IFERROR(__xludf.dummyfunction("FILTER(FILTER('Data Scenarios 5-6'!$A$2:$CE$105,'Data Scenarios 5-6'!$A$1:$CE$1=""V_LAPTOP_5_OUTPUT * I_LAPTOP_5_OUTPUT""),'Data Scenarios 5-6'!$B$2:$B$105=$A7,'Data Scenarios 5-6'!$C$2:$C$105=""All"",'Data Scenarios 5-6'!$D$2:$D$105=""Covariance"")"),-0.00000282285989438936)</f>
        <v>-2.82285989438936E-006</v>
      </c>
      <c r="BT7" s="38" t="n">
        <f aca="false">IFERROR(__xludf.dummyfunction("FILTER(FILTER('Data Scenarios 5-6'!$A$2:$CE$105,'Data Scenarios 5-6'!$A$1:$CE$1=""P_LAPTOP_5_OUTPUT""),'Data Scenarios 5-6'!$B$2:$B$105=$A7,'Data Scenarios 5-6'!$C$2:$C$105=""All"",'Data Scenarios 5-6'!$D$2:$D$105=""Standard Deviation"")"),0.0369585668980675)</f>
        <v>0.0369585668980675</v>
      </c>
      <c r="BU7" s="71" t="n">
        <f aca="false">ABS(I7)*SQRT((BQ7/F7)^2+(BR7/G7)^2+2*BS7/(F7*G7))</f>
        <v>0.0295375513873753</v>
      </c>
      <c r="BV7" s="47" t="n">
        <f aca="false">IFERROR(__xludf.dummyfunction("FILTER(FILTER('Data Scenarios 5-6'!$A$2:$CE$105,'Data Scenarios 5-6'!$A$1:$CE$1=""V_LAPTOP_6_OUTPUT""),'Data Scenarios 5-6'!$B$2:$B$105=$A7,'Data Scenarios 5-6'!$C$2:$C$105=""All"",'Data Scenarios 5-6'!$D$2:$D$105=""Standard Deviation"")"),0.00947737073029919)</f>
        <v>0.00947737073029919</v>
      </c>
      <c r="BW7" s="50" t="n">
        <f aca="false">IFERROR(__xludf.dummyfunction("FILTER(FILTER('Data Scenarios 5-6'!$A$2:$CE$105,'Data Scenarios 5-6'!$A$1:$CE$1=""I_LAPTOP_6_OUTPUT""),'Data Scenarios 5-6'!$B$2:$B$105=$A7,'Data Scenarios 5-6'!$C$2:$C$105=""All"",'Data Scenarios 5-6'!$D$2:$D$105=""Standard Deviation"")"),0.00143217128014971)</f>
        <v>0.00143217128014971</v>
      </c>
      <c r="BX7" s="72" t="n">
        <f aca="false">IFERROR(__xludf.dummyfunction("FILTER(FILTER('Data Scenarios 5-6'!$A$2:$CE$105,'Data Scenarios 5-6'!$A$1:$CE$1=""V_LAPTOP_6_OUTPUT * I_LAPTOP_6_OUTPUT""),'Data Scenarios 5-6'!$B$2:$B$105=$A7,'Data Scenarios 5-6'!$C$2:$C$105=""All"",'Data Scenarios 5-6'!$D$2:$D$105=""Covariance"")"),0.00000125557788730364)</f>
        <v>1.25557788730364E-006</v>
      </c>
      <c r="BY7" s="38" t="n">
        <f aca="false">IFERROR(__xludf.dummyfunction("FILTER(FILTER('Data Scenarios 5-6'!$A$2:$CE$105,'Data Scenarios 5-6'!$A$1:$CE$1=""P_LAPTOP_6_OUTPUT""),'Data Scenarios 5-6'!$B$2:$B$105=$A7,'Data Scenarios 5-6'!$C$2:$C$105=""All"",'Data Scenarios 5-6'!$D$2:$D$105=""Standard Deviation"")"),0.0113556241346686)</f>
        <v>0.0113556241346686</v>
      </c>
      <c r="BZ7" s="71" t="n">
        <f aca="false">ABS(M7)*SQRT((BV7/J7)^2+(BW7/K7)^2+2*BX7/(J7*K7))</f>
        <v>0.0474564280850665</v>
      </c>
      <c r="CA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B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C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D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E7" s="73" t="n">
        <f aca="false">ABS(Q7)*SQRT((CA7/N7)^2+(CB7/O7)^2+2*CC7/(N7*O7))</f>
        <v>0.308988534705076</v>
      </c>
      <c r="CF7" s="47" t="n">
        <f aca="false">IFERROR(__xludf.dummyfunction("FILTER(FILTER('Data Scenarios 5-6'!$A$2:$CE$105,'Data Scenarios 5-6'!$A$1:$CE$1=""V_LED_2""),'Data Scenarios 5-6'!$B$2:$B$105=$A7,'Data Scenarios 5-6'!$C$2:$C$105=""All"",'Data Scenarios 5-6'!$D$2:$D$105=""Standard Deviation"")"),0.00130548637435005)</f>
        <v>0.00130548637435005</v>
      </c>
      <c r="CG7" s="38" t="n">
        <f aca="false">IFERROR(__xludf.dummyfunction("FILTER(FILTER('Data Scenarios 5-6'!$A$2:$CE$105,'Data Scenarios 5-6'!$A$1:$CE$1=""I_LED_2""),'Data Scenarios 5-6'!$B$2:$B$105=$A7,'Data Scenarios 5-6'!$C$2:$C$105=""All"",'Data Scenarios 5-6'!$D$2:$D$105=""Standard Deviation"")"),0.0157321456683824)</f>
        <v>0.0157321456683824</v>
      </c>
      <c r="CH7" s="70" t="n">
        <f aca="false">IFERROR(__xludf.dummyfunction("FILTER(FILTER('Data Scenarios 5-6'!$A$2:$CE$105,'Data Scenarios 5-6'!$A$1:$CE$1=""V_LED_2 * I_LED_2""),'Data Scenarios 5-6'!$B$2:$B$105=$A7,'Data Scenarios 5-6'!$C$2:$C$105=""All"",'Data Scenarios 5-6'!$D$2:$D$105=""Covariance"")"),0.0000890984345754972)</f>
        <v>8.90984345754972E-005</v>
      </c>
      <c r="CI7" s="65" t="n">
        <f aca="false">IFERROR(__xludf.dummyfunction("FILTER(FILTER('Data Scenarios 5-6'!$A$2:$CE$105,'Data Scenarios 5-6'!$A$1:$CE$1=""P_LED_2""),'Data Scenarios 5-6'!$B$2:$B$105=$A7,'Data Scenarios 5-6'!$C$2:$C$105=""All"",'Data Scenarios 5-6'!$D$2:$D$105=""Standard Deviation"")"),0.379493805522212)</f>
        <v>0.379493805522212</v>
      </c>
      <c r="CJ7" s="73" t="n">
        <f aca="false">ABS(U7)*SQRT((CF7/R7)^2+(CG7/S7)^2+2*CH7/(R7*S7))</f>
        <v>0.388041170098558</v>
      </c>
      <c r="CK7" s="59" t="n">
        <f aca="false">IFERROR(__xludf.dummyfunction("FILTER(FILTER('Data Scenarios 5-6'!$A$2:$CE$105,'Data Scenarios 5-6'!$A$1:$CE$1=""V_LED_1""),'Data Scenarios 5-6'!$B$2:$B$105=$A7,'Data Scenarios 5-6'!$C$2:$C$105=""All"",'Data Scenarios 5-6'!$D$2:$D$105=""Standard Deviation"")"),0.0130655355109344)</f>
        <v>0.0130655355109344</v>
      </c>
      <c r="CL7" s="38" t="n">
        <f aca="false">IFERROR(__xludf.dummyfunction("FILTER(FILTER('Data Scenarios 5-6'!$A$2:$CE$105,'Data Scenarios 5-6'!$A$1:$CE$1=""I_LED_1""),'Data Scenarios 5-6'!$B$2:$B$105=$A7,'Data Scenarios 5-6'!$C$2:$C$105=""All"",'Data Scenarios 5-6'!$D$2:$D$105=""Standard Deviation"")"),0.0120591394763368)</f>
        <v>0.0120591394763368</v>
      </c>
      <c r="CM7" s="48" t="n">
        <f aca="false">IFERROR(__xludf.dummyfunction("FILTER(FILTER('Data Scenarios 5-6'!$A$2:$CE$105,'Data Scenarios 5-6'!$A$1:$CE$1=""V_LED_1 * I_LED_1""),'Data Scenarios 5-6'!$B$2:$B$105=$A7,'Data Scenarios 5-6'!$C$2:$C$105=""All"",'Data Scenarios 5-6'!$D$2:$D$105=""Covariance"")"),0.00019236759613958)</f>
        <v>0.00019236759613958</v>
      </c>
      <c r="CN7" s="65" t="n">
        <f aca="false">IFERROR(__xludf.dummyfunction("FILTER(FILTER('Data Scenarios 5-6'!$A$2:$CE$105,'Data Scenarios 5-6'!$A$1:$CE$1=""P_LED_1""),'Data Scenarios 5-6'!$B$2:$B$105=$A7,'Data Scenarios 5-6'!$C$2:$C$105=""All"",'Data Scenarios 5-6'!$D$2:$D$105=""Standard Deviation"")"),0.273547795410668)</f>
        <v>0.273547795410668</v>
      </c>
      <c r="CO7" s="73" t="n">
        <f aca="false">ABS(Y7)*SQRT((CK7/V7)^2+(CL7/W7)^2+2*CM7/(V7*W7))</f>
        <v>0.31165442822929</v>
      </c>
      <c r="CP7" s="50" t="n">
        <f aca="false">IFERROR(__xludf.dummyfunction("FILTER(FILTER('Data Scenarios 5-6'!$A$2:$CE$105,'Data Scenarios 5-6'!$A$1:$CE$1=""V_RESISTOR_1A""),'Data Scenarios 5-6'!$B$2:$B$105=$A7,'Data Scenarios 5-6'!$C$2:$C$105=""All"",'Data Scenarios 5-6'!$D$2:$D$105=""Standard Deviation"")"),0.00106280882319024)</f>
        <v>0.00106280882319024</v>
      </c>
      <c r="CQ7" s="40" t="n">
        <v>0.045</v>
      </c>
      <c r="CR7" s="50" t="n">
        <f aca="false">IFERROR(__xludf.dummyfunction("FILTER(FILTER('Data Scenarios 5-6'!$A$2:$CE$105,'Data Scenarios 5-6'!$A$1:$CE$1=""P_RESISTOR_1A""),'Data Scenarios 5-6'!$B$2:$B$105=$A7,'Data Scenarios 5-6'!$C$2:$C$105=""All"",'Data Scenarios 5-6'!$D$2:$D$105=""Standard Deviation"")"),0.00743115972695504)</f>
        <v>0.00743115972695504</v>
      </c>
      <c r="CS7" s="73" t="n">
        <f aca="false">SQRT(CP7^2*(2*Z7/AA7)^2+CQ7^2*(Z7^2/AA7^2)^2)</f>
        <v>0.550517371223055</v>
      </c>
      <c r="CT7" s="48" t="n">
        <f aca="false">IFERROR(__xludf.dummyfunction("FILTER(FILTER('Data Scenarios 5-6'!$A$2:$CE$105,'Data Scenarios 5-6'!$A$1:$CE$1=""V_RESISTOR_1B""),'Data Scenarios 5-6'!$B$2:$B$105=$A7,'Data Scenarios 5-6'!$C$2:$C$105=""All"",'Data Scenarios 5-6'!$D$2:$D$105=""Standard Deviation"")"),0.00026218259121082)</f>
        <v>0.00026218259121082</v>
      </c>
      <c r="CU7" s="40" t="n">
        <v>0.029</v>
      </c>
      <c r="CV7" s="50" t="n">
        <f aca="false">IFERROR(__xludf.dummyfunction("FILTER(FILTER('Data Scenarios 5-6'!$A$2:$CE$105,'Data Scenarios 5-6'!$A$1:$CE$1=""P_RESISTOR_1B""),'Data Scenarios 5-6'!$B$2:$B$105=$A7,'Data Scenarios 5-6'!$C$2:$C$105=""All"",'Data Scenarios 5-6'!$D$2:$D$105=""Standard Deviation"")"),0.0018291606341743)</f>
        <v>0.0018291606341743</v>
      </c>
      <c r="CW7" s="73" t="n">
        <f aca="false">SQRT(CT7^2*(2*AD7/AE7)^2+CU7^2*(AD7^2/AE7^2)^2)</f>
        <v>0.35289013986036</v>
      </c>
      <c r="CX7" s="48" t="n">
        <f aca="false">IFERROR(__xludf.dummyfunction("FILTER(FILTER('Data Scenarios 5-6'!$A$2:$CE$105,'Data Scenarios 5-6'!$A$1:$CE$1=""V_RESISTOR_1C""),'Data Scenarios 5-6'!$B$2:$B$105=$A7,'Data Scenarios 5-6'!$C$2:$C$105=""All"",'Data Scenarios 5-6'!$D$2:$D$105=""Standard Deviation"")"),0.000313462859569111)</f>
        <v>0.000313462859569111</v>
      </c>
      <c r="CY7" s="40" t="n">
        <v>0.029</v>
      </c>
      <c r="CZ7" s="50" t="n">
        <f aca="false">IFERROR(__xludf.dummyfunction("FILTER(FILTER('Data Scenarios 5-6'!$A$2:$CE$105,'Data Scenarios 5-6'!$A$1:$CE$1=""P_RESISTOR_1C""),'Data Scenarios 5-6'!$B$2:$B$105=$A7,'Data Scenarios 5-6'!$C$2:$C$105=""All"",'Data Scenarios 5-6'!$D$2:$D$105=""Standard Deviation"")"),0.00220471218316965)</f>
        <v>0.00220471218316965</v>
      </c>
      <c r="DA7" s="73" t="n">
        <f aca="false">SQRT(CX7^2*(2*AH7/AI7)^2+CY7^2*(AH7^2/AI7^2)^2)</f>
        <v>0.358553557133152</v>
      </c>
      <c r="DB7" s="48" t="n">
        <f aca="false">IFERROR(__xludf.dummyfunction("FILTER(FILTER('Data Scenarios 5-6'!$A$2:$CE$105,'Data Scenarios 5-6'!$A$1:$CE$1=""V_RESISTOR_1D""),'Data Scenarios 5-6'!$B$2:$B$105=$A7,'Data Scenarios 5-6'!$C$2:$C$105=""All"",'Data Scenarios 5-6'!$D$2:$D$105=""Standard Deviation"")"),0.000615270477126833)</f>
        <v>0.000615270477126833</v>
      </c>
      <c r="DC7" s="40" t="n">
        <v>0.049</v>
      </c>
      <c r="DD7" s="50" t="n">
        <f aca="false">IFERROR(__xludf.dummyfunction("FILTER(FILTER('Data Scenarios 5-6'!$A$2:$CE$105,'Data Scenarios 5-6'!$A$1:$CE$1=""P_RESISTOR_1D""),'Data Scenarios 5-6'!$B$2:$B$105=$A7,'Data Scenarios 5-6'!$C$2:$C$105=""All"",'Data Scenarios 5-6'!$D$2:$D$105=""Standard Deviation"")"),0.00413435450906639)</f>
        <v>0.00413435450906639</v>
      </c>
      <c r="DE7" s="73" t="n">
        <f aca="false">SQRT(DB7^2*(2*AL7/AM7)^2+DC7^2*(AL7^2/AM7^2)^2)</f>
        <v>0.553282513618128</v>
      </c>
      <c r="DF7" s="48" t="n">
        <f aca="false">IFERROR(__xludf.dummyfunction("FILTER(FILTER('Data Scenarios 5-6'!$A$2:$CE$105,'Data Scenarios 5-6'!$A$1:$CE$1=""V_RESISTOR_1E""),'Data Scenarios 5-6'!$B$2:$B$105=$A7,'Data Scenarios 5-6'!$C$2:$C$105=""All"",'Data Scenarios 5-6'!$D$2:$D$105=""Standard Deviation"")"),0.000568965383636265)</f>
        <v>0.000568965383636265</v>
      </c>
      <c r="DG7" s="40" t="n">
        <v>0.036</v>
      </c>
      <c r="DH7" s="50" t="n">
        <f aca="false">IFERROR(__xludf.dummyfunction("FILTER(FILTER('Data Scenarios 5-6'!$A$2:$CE$105,'Data Scenarios 5-6'!$A$1:$CE$1=""P_RESISTOR_1E""),'Data Scenarios 5-6'!$B$2:$B$105=$A7,'Data Scenarios 5-6'!$C$2:$C$105=""All"",'Data Scenarios 5-6'!$D$2:$D$105=""Standard Deviation"")"),0.00390782134564607)</f>
        <v>0.00390782134564607</v>
      </c>
      <c r="DI7" s="73" t="n">
        <f aca="false">SQRT(DF7^2*(2*AP7/AQ7)^2+DG7^2*(AP7^2/AQ7^2)^2)</f>
        <v>0.424587664792133</v>
      </c>
      <c r="DJ7" s="48" t="n">
        <f aca="false">IFERROR(__xludf.dummyfunction("FILTER(FILTER('Data Scenarios 5-6'!$A$2:$CE$105,'Data Scenarios 5-6'!$A$1:$CE$1=""V_RESISTOR_1F""),'Data Scenarios 5-6'!$B$2:$B$105=$A7,'Data Scenarios 5-6'!$C$2:$C$105=""All"",'Data Scenarios 5-6'!$D$2:$D$105=""Standard Deviation"")"),0.000300043249237667)</f>
        <v>0.000300043249237667</v>
      </c>
      <c r="DK7" s="40" t="n">
        <v>0.067</v>
      </c>
      <c r="DL7" s="50" t="n">
        <f aca="false">IFERROR(__xludf.dummyfunction("FILTER(FILTER('Data Scenarios 5-6'!$A$2:$CE$105,'Data Scenarios 5-6'!$A$1:$CE$1=""P_RESISTOR_1F""),'Data Scenarios 5-6'!$B$2:$B$105=$A7,'Data Scenarios 5-6'!$C$2:$C$105=""All"",'Data Scenarios 5-6'!$D$2:$D$105=""Standard Deviation"")"),0.00195834660986654)</f>
        <v>0.00195834660986654</v>
      </c>
      <c r="DM7" s="73" t="n">
        <f aca="false">SQRT(DJ7^2*(2*AT7/AU7)^2+DK7^2*(AT7^2/AU7^2)^2)</f>
        <v>0.712974821730549</v>
      </c>
      <c r="DN7" s="48" t="n">
        <f aca="false">IFERROR(__xludf.dummyfunction("FILTER(FILTER('Data Scenarios 5-6'!$A$2:$CE$105,'Data Scenarios 5-6'!$A$1:$CE$1=""V_RESISTOR_1G""),'Data Scenarios 5-6'!$B$2:$B$105=$A7,'Data Scenarios 5-6'!$C$2:$C$105=""All"",'Data Scenarios 5-6'!$D$2:$D$105=""Standard Deviation"")"),0.000848344271391203)</f>
        <v>0.000848344271391203</v>
      </c>
      <c r="DO7" s="40" t="n">
        <v>0.037</v>
      </c>
      <c r="DP7" s="50" t="n">
        <f aca="false">IFERROR(__xludf.dummyfunction("FILTER(FILTER('Data Scenarios 5-6'!$A$2:$CE$105,'Data Scenarios 5-6'!$A$1:$CE$1=""P_RESISTOR_1G""),'Data Scenarios 5-6'!$B$2:$B$105=$A7,'Data Scenarios 5-6'!$C$2:$C$105=""All"",'Data Scenarios 5-6'!$D$2:$D$105=""Standard Deviation"")"),0.00568371501345767)</f>
        <v>0.00568371501345767</v>
      </c>
      <c r="DQ7" s="73" t="n">
        <f aca="false">SQRT(DN7^2*(2*AX7/AY7)^2+DO7^2*(AX7^2/AY7^2)^2)</f>
        <v>0.415472969751519</v>
      </c>
      <c r="DR7" s="44" t="n">
        <f aca="false">IFERROR(__xludf.dummyfunction("FILTER(FILTER('Data Scenarios 5-6'!$A$2:$CE$105,'Data Scenarios 5-6'!$A$1:$CE$1=""P_In""),'Data Scenarios 5-6'!$B$2:$B$105=$A7,'Data Scenarios 5-6'!$C$2:$C$105=""All"",'Data Scenarios 5-6'!$D$2:$D$105=""Standard Deviation"")"),2.50040144230607)</f>
        <v>2.50040144230607</v>
      </c>
      <c r="DS7" s="44" t="n">
        <f aca="false">IFERROR(__xludf.dummyfunction("FILTER(FILTER('Data Scenarios 5-6'!$A$2:$CE$105,'Data Scenarios 5-6'!$A$1:$CE$1=""P_Secondary""),'Data Scenarios 5-6'!$B$2:$B$105=$A7,'Data Scenarios 5-6'!$C$2:$C$105=""All"",'Data Scenarios 5-6'!$D$2:$D$105=""Standard Deviation"")"),2.63714262199432)</f>
        <v>2.63714262199432</v>
      </c>
      <c r="DT7" s="45" t="n">
        <f aca="false">IFERROR(__xludf.dummyfunction("FILTER(FILTER('Data Scenarios 5-6'!$A$2:$CE$105,'Data Scenarios 5-6'!$A$1:$CE$1=""P_Out""),'Data Scenarios 5-6'!$B$2:$B$105=$A7,'Data Scenarios 5-6'!$C$2:$C$105=""All"",'Data Scenarios 5-6'!$D$2:$D$105=""Standard Deviation"")"),1.01054851655256)</f>
        <v>1.01054851655256</v>
      </c>
      <c r="DU7" s="75" t="n">
        <f aca="false">SQRT(BO7^2+BT7^2+BY7^2+CD7^2+CI7^2+CN7^2+CS7^2+CW7^2+DA7^2+DE7^2+DI7^2+DM7^2+DQ7^2)</f>
        <v>1.42158662286309</v>
      </c>
      <c r="DV7" s="74" t="n">
        <f aca="false">IFERROR(__xludf.dummyfunction("FILTER(FILTER('Data Scenarios 5-6'!$A$2:$CE$105,'Data Scenarios 5-6'!$A$1:$CE$1=""P_TransformerLoss""),'Data Scenarios 5-6'!$B$2:$B$105=$A7,'Data Scenarios 5-6'!$C$2:$C$105=""All"",'Data Scenarios 5-6'!$D$2:$D$105=""Standard Deviation"")"),0.223760873808898)</f>
        <v>0.223760873808898</v>
      </c>
      <c r="DW7" s="75" t="n">
        <f aca="false">SQRT(DR7^2+DS7^2)</f>
        <v>3.63407878029981</v>
      </c>
      <c r="DX7" s="41" t="n">
        <f aca="false">IFERROR(__xludf.dummyfunction("FILTER(FILTER('Data Scenarios 5-6'!$A$2:$CE$105,'Data Scenarios 5-6'!$A$1:$CE$1=""P_ConverterLoss""),'Data Scenarios 5-6'!$B$2:$B$105=$A7,'Data Scenarios 5-6'!$C$2:$C$105=""All"",'Data Scenarios 5-6'!$D$2:$D$105=""Standard Deviation"")"),3.6031350625405)</f>
        <v>3.6031350625405</v>
      </c>
      <c r="DY7" s="75" t="n">
        <f aca="false">SQRT(DS7^2+MAX(DT7:DU7)^2)</f>
        <v>2.99590215712102</v>
      </c>
      <c r="DZ7" s="41" t="n">
        <f aca="false">IFERROR(__xludf.dummyfunction("FILTER(FILTER('Data Scenarios 5-6'!$A$2:$CE$105,'Data Scenarios 5-6'!$A$1:$CE$1=""P_SystemLoss""),'Data Scenarios 5-6'!$B$2:$B$105=$A7,'Data Scenarios 5-6'!$C$2:$C$105=""All"",'Data Scenarios 5-6'!$D$2:$D$105=""Standard Deviation"")"),3.44814744643303)</f>
        <v>3.44814744643303</v>
      </c>
      <c r="EA7" s="75" t="n">
        <f aca="false">SQRT(DR7^2+MAX(DT7:DU7)^2)</f>
        <v>2.8762677029424</v>
      </c>
      <c r="EB7" s="151" t="n">
        <v>1095.8612780263</v>
      </c>
      <c r="EC7" s="152" t="n">
        <v>998.484517164296</v>
      </c>
      <c r="ED7" s="152" t="n">
        <v>97.3767608620077</v>
      </c>
      <c r="EE7" s="152" t="n">
        <v>114.382517164296</v>
      </c>
      <c r="EF7" s="152" t="n">
        <v>211.759278026303</v>
      </c>
      <c r="EG7" s="45" t="n">
        <f aca="false">EB7-BB7</f>
        <v>14.71909174853</v>
      </c>
      <c r="EH7" s="65" t="n">
        <f aca="false">TINV(0.1,2)*DR7/SQRT(3)</f>
        <v>4.21531292542008</v>
      </c>
      <c r="EI7" s="66" t="n">
        <f aca="false">EG7/BB7</f>
        <v>0.0136143903506401</v>
      </c>
      <c r="EJ7" s="67" t="n">
        <f aca="false">EH7/BB7</f>
        <v>0.00389894407869963</v>
      </c>
      <c r="EK7" s="45" t="n">
        <f aca="false">EC7-BC7</f>
        <v>5.60871160874103</v>
      </c>
      <c r="EL7" s="65" t="n">
        <f aca="false">TINV(0.1,2)*DS7/SQRT(3)</f>
        <v>4.44583865317901</v>
      </c>
      <c r="EM7" s="66" t="n">
        <f aca="false">EK7/BC7</f>
        <v>0.00564895586875815</v>
      </c>
      <c r="EN7" s="67" t="n">
        <f aca="false">EL7/BC7</f>
        <v>0.00447773893603075</v>
      </c>
      <c r="EO7" s="45" t="n">
        <f aca="false">ED7-BF7</f>
        <v>9.11038013978551</v>
      </c>
      <c r="EP7" s="65" t="n">
        <f aca="false">TINV(0.1,2)*DV7/SQRT(3)</f>
        <v>0.377228267273764</v>
      </c>
      <c r="EQ7" s="66" t="n">
        <f aca="false">EO7/BF7</f>
        <v>0.103214610877229</v>
      </c>
      <c r="ER7" s="66" t="n">
        <f aca="false">EP7/BF7</f>
        <v>0.00427374799087907</v>
      </c>
      <c r="ES7" s="45" t="n">
        <f aca="false">EE7-BH7</f>
        <v>5.607927885739</v>
      </c>
      <c r="ET7" s="65" t="n">
        <f aca="false">TINV(0.1,2)*MAX(DX7,DY7)/SQRT(3)</f>
        <v>6.07436131821831</v>
      </c>
      <c r="EU7" s="66" t="n">
        <f aca="false">ES7/BH7</f>
        <v>0.0515554958463494</v>
      </c>
      <c r="EV7" s="67" t="n">
        <f aca="false">ET7/BH7</f>
        <v>0.0558435693345869</v>
      </c>
      <c r="EW7" s="45" t="n">
        <f aca="false">EF7-BJ7</f>
        <v>14.718308025524</v>
      </c>
      <c r="EX7" s="65" t="n">
        <f aca="false">TINV(0.1,2)*MAX(DZ7,EA7)/SQRT(3)</f>
        <v>5.81307475422749</v>
      </c>
      <c r="EY7" s="66" t="n">
        <f aca="false">EW7/BJ7</f>
        <v>0.0746966888432686</v>
      </c>
      <c r="EZ7" s="66" t="n">
        <f aca="false">EX7/BJ7</f>
        <v>0.0295018581881956</v>
      </c>
    </row>
    <row r="8" customFormat="false" ht="12.75" hidden="false" customHeight="false" outlineLevel="0" collapsed="false">
      <c r="A8" s="37" t="n">
        <v>6.1</v>
      </c>
      <c r="B8" s="38" t="n">
        <f aca="false">IFERROR(__xludf.dummyfunction("FILTER(FILTER('Data Scenarios 5-6'!$A$2:$CE$105,'Data Scenarios 5-6'!$A$1:$CE$1=""V_LAPTOP_4_OUTPUT""),'Data Scenarios 5-6'!$B$2:$B$105=$A8,'Data Scenarios 5-6'!$C$2:$C$105=""All"",'Data Scenarios 5-6'!$D$2:$D$105=""Mean"")"),18.8712588333333)</f>
        <v>18.8712588333333</v>
      </c>
      <c r="C8" s="3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5-6'!$D$2:$D$105=""Mean"")"),0.00579102771748238)</f>
        <v>0.00579102771748238</v>
      </c>
      <c r="D8" s="65" t="n">
        <f aca="false">IFERROR(__xludf.dummyfunction("FILTER(FILTER('Data Scenarios 5-6'!$A$2:$CE$105,'Data Scenarios 5-6'!$A$1:$CE$1=""P_LAPTOP_4_OUTPUT""),'Data Scenarios 5-6'!$B$2:$B$105=$A8,'Data Scenarios 5-6'!$C$2:$C$105=""All"",'Data Scenarios 5-6'!$D$2:$D$105=""Mean"")"),0.109269465688724)</f>
        <v>0.109269465688724</v>
      </c>
      <c r="E8" s="39" t="n">
        <v>0</v>
      </c>
      <c r="F8" s="38" t="n">
        <f aca="false">IFERROR(__xludf.dummyfunction("FILTER(FILTER('Data Scenarios 5-6'!$A$2:$CE$105,'Data Scenarios 5-6'!$A$1:$CE$1=""V_LAPTOP_5_OUTPUT""),'Data Scenarios 5-6'!$B$2:$B$105=$A8,'Data Scenarios 5-6'!$C$2:$C$105=""All"",'Data Scenarios 5-6'!$D$2:$D$105=""Mean"")"),18.7706191083333)</f>
        <v>18.7706191083333</v>
      </c>
      <c r="G8" s="38" t="n">
        <f aca="false">IFERROR(__xludf.dummyfunction("FILTER(FILTER('Data Scenarios 5-6'!$A$2:$CE$105,'Data Scenarios 5-6'!$A$1:$CE$1=""I_LAPTOP_5_OUTPUT""),'Data Scenarios 5-6'!$B$2:$B$105=$A8,'Data Scenarios 5-6'!$C$2:$C$105=""All"",'Data Scenarios 5-6'!$D$2:$D$105=""Mean"")"),0.00778775522617437)</f>
        <v>0.00778775522617437</v>
      </c>
      <c r="H8" s="65" t="n">
        <f aca="false">IFERROR(__xludf.dummyfunction("FILTER(FILTER('Data Scenarios 5-6'!$A$2:$CE$105,'Data Scenarios 5-6'!$A$1:$CE$1=""P_LAPTOP_5_OUTPUT""),'Data Scenarios 5-6'!$B$2:$B$105=$A8,'Data Scenarios 5-6'!$C$2:$C$105=""All"",'Data Scenarios 5-6'!$D$2:$D$105=""Mean"")"),0.146210540055371)</f>
        <v>0.146210540055371</v>
      </c>
      <c r="I8" s="39" t="n">
        <v>0</v>
      </c>
      <c r="J8" s="38" t="n">
        <f aca="false">IFERROR(__xludf.dummyfunction("FILTER(FILTER('Data Scenarios 5-6'!$A$2:$CE$105,'Data Scenarios 5-6'!$A$1:$CE$1=""V_LAPTOP_6_OUTPUT""),'Data Scenarios 5-6'!$B$2:$B$105=$A8,'Data Scenarios 5-6'!$C$2:$C$105=""All"",'Data Scenarios 5-6'!$D$2:$D$105=""Mean"")"),18.8233124638888)</f>
        <v>18.8233124638888</v>
      </c>
      <c r="K8" s="38" t="n">
        <f aca="false">IFERROR(__xludf.dummyfunction("FILTER(FILTER('Data Scenarios 5-6'!$A$2:$CE$105,'Data Scenarios 5-6'!$A$1:$CE$1=""I_LAPTOP_6_OUTPUT""),'Data Scenarios 5-6'!$B$2:$B$105=$A8,'Data Scenarios 5-6'!$C$2:$C$105=""All"",'Data Scenarios 5-6'!$D$2:$D$105=""Mean"")"),0.016166018036519)</f>
        <v>0.016166018036519</v>
      </c>
      <c r="L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5-6'!$D$2:$D$105=""Mean"")"),0.304209435405914)</f>
        <v>0.304209435405914</v>
      </c>
      <c r="M8" s="39" t="n">
        <v>0</v>
      </c>
      <c r="N8" s="38" t="n">
        <f aca="false">IFERROR(__xludf.dummyfunction("FILTER(FILTER('Data Scenarios 5-6'!$A$2:$CE$105,'Data Scenarios 5-6'!$A$1:$CE$1=""V_LED_1""),'Data Scenarios 5-6'!$B$2:$B$105=$A8,'Data Scenarios 5-6'!$C$2:$C$105=""All"",'Data Scenarios 5-6'!$D$2:$D$105=""Mean"")"),0.178820136944444)</f>
        <v>0.178820136944444</v>
      </c>
      <c r="O8" s="38" t="n">
        <f aca="false">IFERROR(__xludf.dummyfunction("FILTER(FILTER('Data Scenarios 5-6'!$A$2:$CE$105,'Data Scenarios 5-6'!$A$1:$CE$1=""I_LED_1""),'Data Scenarios 5-6'!$B$2:$B$105=$A8,'Data Scenarios 5-6'!$C$2:$C$105=""All"",'Data Scenarios 5-6'!$D$2:$D$105=""Mean"")"),0)</f>
        <v>0</v>
      </c>
      <c r="P8" s="65" t="n">
        <f aca="false">IFERROR(__xludf.dummyfunction("FILTER(FILTER('Data Scenarios 5-6'!$A$2:$CE$105,'Data Scenarios 5-6'!$A$1:$CE$1=""P_LED_1""),'Data Scenarios 5-6'!$B$2:$B$105=$A8,'Data Scenarios 5-6'!$C$2:$C$105=""All"",'Data Scenarios 5-6'!$D$2:$D$105=""Mean"")"),-0.00000550286074722222)</f>
        <v>-5.50286074722222E-006</v>
      </c>
      <c r="Q8" s="68" t="n">
        <f aca="false">N8*O8</f>
        <v>0</v>
      </c>
      <c r="R8" s="38" t="n">
        <f aca="false">IFERROR(__xludf.dummyfunction("FILTER(FILTER('Data Scenarios 5-6'!$A$2:$CE$105,'Data Scenarios 5-6'!$A$1:$CE$1=""V_LED_2""),'Data Scenarios 5-6'!$B$2:$B$105=$A8,'Data Scenarios 5-6'!$C$2:$C$105=""All"",'Data Scenarios 5-6'!$D$2:$D$105=""Mean"")"),0.151918235277777)</f>
        <v>0.151918235277777</v>
      </c>
      <c r="S8" s="38" t="n">
        <f aca="false">IFERROR(__xludf.dummyfunction("FILTER(FILTER('Data Scenarios 5-6'!$A$2:$CE$105,'Data Scenarios 5-6'!$A$1:$CE$1=""I_LED_2""),'Data Scenarios 5-6'!$B$2:$B$105=$A8,'Data Scenarios 5-6'!$C$2:$C$105=""All"",'Data Scenarios 5-6'!$D$2:$D$105=""Mean"")"),0)</f>
        <v>0</v>
      </c>
      <c r="T8" s="65" t="n">
        <f aca="false">IFERROR(__xludf.dummyfunction("FILTER(FILTER('Data Scenarios 5-6'!$A$2:$CE$105,'Data Scenarios 5-6'!$A$1:$CE$1=""P_LED_2""),'Data Scenarios 5-6'!$B$2:$B$105=$A8,'Data Scenarios 5-6'!$C$2:$C$105=""All"",'Data Scenarios 5-6'!$D$2:$D$105=""Mean"")"),-0.00000545612783055555)</f>
        <v>-5.45612783055555E-006</v>
      </c>
      <c r="U8" s="68" t="n">
        <f aca="false">R8*S8</f>
        <v>0</v>
      </c>
      <c r="V8" s="38" t="n">
        <f aca="false">IFERROR(__xludf.dummyfunction("FILTER(FILTER('Data Scenarios 5-6'!$A$2:$CE$105,'Data Scenarios 5-6'!$A$1:$CE$1=""V_LED_3""),'Data Scenarios 5-6'!$B$2:$B$105=$A8,'Data Scenarios 5-6'!$C$2:$C$105=""All"",'Data Scenarios 5-6'!$D$2:$D$105=""Mean"")"),0.3322122975)</f>
        <v>0.3322122975</v>
      </c>
      <c r="W8" s="38" t="n">
        <f aca="false">IFERROR(__xludf.dummyfunction("FILTER(FILTER('Data Scenarios 5-6'!$A$2:$CE$105,'Data Scenarios 5-6'!$A$1:$CE$1=""I_LED_3""),'Data Scenarios 5-6'!$B$2:$B$105=$A8,'Data Scenarios 5-6'!$C$2:$C$105=""All"",'Data Scenarios 5-6'!$D$2:$D$105=""Mean"")"),0)</f>
        <v>0</v>
      </c>
      <c r="X8" s="65" t="n">
        <f aca="false">IFERROR(__xludf.dummyfunction("FILTER(FILTER('Data Scenarios 5-6'!$A$2:$CE$105,'Data Scenarios 5-6'!$A$1:$CE$1=""P_LED_3""),'Data Scenarios 5-6'!$B$2:$B$105=$A8,'Data Scenarios 5-6'!$C$2:$C$105=""All"",'Data Scenarios 5-6'!$D$2:$D$105=""Mean"")"),0.000137599987777777)</f>
        <v>0.000137599987777777</v>
      </c>
      <c r="Y8" s="68" t="n">
        <f aca="false">V8*W8</f>
        <v>0</v>
      </c>
      <c r="Z8" s="38" t="n">
        <f aca="false">IFERROR(__xludf.dummyfunction("FILTER(FILTER('Data Scenarios 5-6'!$A$2:$CE$105,'Data Scenarios 5-6'!$A$1:$CE$1=""V_RESISTOR_1A""),'Data Scenarios 5-6'!$B$2:$B$105=$A8,'Data Scenarios 5-6'!$C$2:$C$105=""All"",'Data Scenarios 5-6'!$D$2:$D$105=""Mean"")"),0.00000152756111111111)</f>
        <v>1.52756111111111E-006</v>
      </c>
      <c r="AA8" s="40"/>
      <c r="AB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5-6'!$D$2:$D$105=""Mean"")"),2.81245138271604E-031)</f>
        <v>2.81245138271604E-031</v>
      </c>
      <c r="AC8" s="42" t="n">
        <v>0</v>
      </c>
      <c r="AD8" s="38" t="n">
        <f aca="false">IFERROR(__xludf.dummyfunction("FILTER(FILTER('Data Scenarios 5-6'!$A$2:$CE$105,'Data Scenarios 5-6'!$A$1:$CE$1=""V_RESISTOR_1B""),'Data Scenarios 5-6'!$B$2:$B$105=$A8,'Data Scenarios 5-6'!$C$2:$C$105=""All"",'Data Scenarios 5-6'!$D$2:$D$105=""Mean"")"),0.00000118306944444444)</f>
        <v>1.18306944444444E-006</v>
      </c>
      <c r="AE8" s="40"/>
      <c r="AF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5-6'!$D$2:$D$105=""Mean"")"),1.76831210802469E-031)</f>
        <v>1.76831210802469E-031</v>
      </c>
      <c r="AG8" s="42" t="n">
        <v>0</v>
      </c>
      <c r="AH8" s="38" t="n">
        <f aca="false">IFERROR(__xludf.dummyfunction("FILTER(FILTER('Data Scenarios 5-6'!$A$2:$CE$105,'Data Scenarios 5-6'!$A$1:$CE$1=""V_RESISTOR_1C""),'Data Scenarios 5-6'!$B$2:$B$105=$A8,'Data Scenarios 5-6'!$C$2:$C$105=""All"",'Data Scenarios 5-6'!$D$2:$D$105=""Mean"")"),0.000000764494444444444)</f>
        <v>7.64494444444444E-007</v>
      </c>
      <c r="AI8" s="40"/>
      <c r="AJ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5-6'!$D$2:$D$105=""Mean"")"),8.6251174074074E-032)</f>
        <v>8.6251174074074E-032</v>
      </c>
      <c r="AK8" s="42" t="n">
        <v>0</v>
      </c>
      <c r="AL8" s="38" t="n">
        <f aca="false">IFERROR(__xludf.dummyfunction("FILTER(FILTER('Data Scenarios 5-6'!$A$2:$CE$105,'Data Scenarios 5-6'!$A$1:$CE$1=""V_RESISTOR_1D""),'Data Scenarios 5-6'!$B$2:$B$105=$A8,'Data Scenarios 5-6'!$C$2:$C$105=""All"",'Data Scenarios 5-6'!$D$2:$D$105=""Mean"")"),0.000000523738888888888)</f>
        <v>5.23738888888888E-007</v>
      </c>
      <c r="AM8" s="40"/>
      <c r="AN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5-6'!$D$2:$D$105=""Mean"")"),6.25370839506172E-032)</f>
        <v>6.25370839506172E-032</v>
      </c>
      <c r="AO8" s="42" t="n">
        <v>0</v>
      </c>
      <c r="AP8" s="38" t="n">
        <f aca="false">IFERROR(__xludf.dummyfunction("FILTER(FILTER('Data Scenarios 5-6'!$A$2:$CE$105,'Data Scenarios 5-6'!$A$1:$CE$1=""V_RESISTOR_1E""),'Data Scenarios 5-6'!$B$2:$B$105=$A8,'Data Scenarios 5-6'!$C$2:$C$105=""All"",'Data Scenarios 5-6'!$D$2:$D$105=""Mean"")"),0.00000249688055555555)</f>
        <v>2.49688055555555E-006</v>
      </c>
      <c r="AQ8" s="40"/>
      <c r="AR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5-6'!$D$2:$D$105=""Mean"")"),7.18886112037037E-031)</f>
        <v>7.18886112037037E-031</v>
      </c>
      <c r="AS8" s="42" t="n">
        <v>0</v>
      </c>
      <c r="AT8" s="38" t="n">
        <f aca="false">IFERROR(__xludf.dummyfunction("FILTER(FILTER('Data Scenarios 5-6'!$A$2:$CE$105,'Data Scenarios 5-6'!$A$1:$CE$1=""V_RESISTOR_1F""),'Data Scenarios 5-6'!$B$2:$B$105=$A8,'Data Scenarios 5-6'!$C$2:$C$105=""All"",'Data Scenarios 5-6'!$D$2:$D$105=""Mean"")"),0.000000597852777777777)</f>
        <v>5.97852777777777E-007</v>
      </c>
      <c r="AU8" s="40"/>
      <c r="AV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5-6'!$D$2:$D$105=""Mean"")"),6.13966175925925E-032)</f>
        <v>6.13966175925925E-032</v>
      </c>
      <c r="AW8" s="42" t="n">
        <v>0</v>
      </c>
      <c r="AX8" s="38" t="n">
        <f aca="false">IFERROR(__xludf.dummyfunction("FILTER(FILTER('Data Scenarios 5-6'!$A$2:$CE$105,'Data Scenarios 5-6'!$A$1:$CE$1=""V_RESISTOR_1G""),'Data Scenarios 5-6'!$B$2:$B$105=$A8,'Data Scenarios 5-6'!$C$2:$C$105=""All"",'Data Scenarios 5-6'!$D$2:$D$105=""Mean"")"),0.000000344036111111111)</f>
        <v>3.44036111111111E-007</v>
      </c>
      <c r="AY8" s="40"/>
      <c r="AZ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5-6'!$D$2:$D$105=""Mean"")"),3.54136848765432E-032)</f>
        <v>3.54136848765432E-032</v>
      </c>
      <c r="BA8" s="42" t="n">
        <v>0</v>
      </c>
      <c r="BB8" s="44" t="n">
        <f aca="false">IFERROR(__xludf.dummyfunction("FILTER(FILTER('Data Scenarios 5-6'!$A$2:$CE$105,'Data Scenarios 5-6'!$A$1:$CE$1=""P_In""),'Data Scenarios 5-6'!$B$2:$B$105=$A8,'Data Scenarios 5-6'!$C$2:$C$105=""All"",'Data Scenarios 5-6'!$D$2:$D$105=""Mean"")"),71.9068289166666)</f>
        <v>71.9068289166666</v>
      </c>
      <c r="BC8" s="44" t="n">
        <f aca="false">IFERROR(__xludf.dummyfunction("FILTER(FILTER('Data Scenarios 5-6'!$A$2:$CE$105,'Data Scenarios 5-6'!$A$1:$CE$1=""P_Secondary""),'Data Scenarios 5-6'!$B$2:$B$105=$A8,'Data Scenarios 5-6'!$C$2:$C$105=""All"",'Data Scenarios 5-6'!$D$2:$D$105=""Mean"")"),19.40542025)</f>
        <v>19.40542025</v>
      </c>
      <c r="BD8" s="45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BE8" s="46" t="n">
        <f aca="false">E8+I8+M8+Q8+U8+Y8+AC8+AG8+AK8+AO8+AS8+AW8+BA8</f>
        <v>0</v>
      </c>
      <c r="BF8" s="45" t="n">
        <f aca="false">IFERROR(__xludf.dummyfunction("FILTER(FILTER('Data Scenarios 5-6'!$A$2:$CE$105,'Data Scenarios 5-6'!$A$1:$CE$1=""P_TransformerLoss""),'Data Scenarios 5-6'!$B$2:$B$105=$A8,'Data Scenarios 5-6'!$C$2:$C$105=""All"",'Data Scenarios 5-6'!$D$2:$D$105=""Mean"")"),52.5014086666666)</f>
        <v>52.5014086666666</v>
      </c>
      <c r="BG8" s="46" t="n">
        <f aca="false">BB8-BC8</f>
        <v>52.5014086666666</v>
      </c>
      <c r="BH8" s="41" t="n">
        <f aca="false">IFERROR(__xludf.dummyfunction("FILTER(FILTER('Data Scenarios 5-6'!$A$2:$CE$105,'Data Scenarios 5-6'!$A$1:$CE$1=""P_ConverterLoss""),'Data Scenarios 5-6'!$B$2:$B$105=$A8,'Data Scenarios 5-6'!$C$2:$C$105=""All"",'Data Scenarios 5-6'!$D$2:$D$105=""Mean"")"),18.8456041678507)</f>
        <v>18.8456041678507</v>
      </c>
      <c r="BI8" s="46" t="n">
        <f aca="false">BC8-BE8</f>
        <v>19.40542025</v>
      </c>
      <c r="BJ8" s="41" t="n">
        <f aca="false">IFERROR(__xludf.dummyfunction("FILTER(FILTER('Data Scenarios 5-6'!$A$2:$CE$105,'Data Scenarios 5-6'!$A$1:$CE$1=""P_SystemLoss""),'Data Scenarios 5-6'!$B$2:$B$105=$A8,'Data Scenarios 5-6'!$C$2:$C$105=""All"",'Data Scenarios 5-6'!$D$2:$D$105=""Mean"")"),71.3470128345174)</f>
        <v>71.3470128345174</v>
      </c>
      <c r="BK8" s="46" t="n">
        <f aca="false">BB8-BE8</f>
        <v>71.9068289166666</v>
      </c>
      <c r="BL8" s="59" t="n">
        <f aca="false">IFERROR(__xludf.dummyfunction("FILTER(FILTER('Data Scenarios 5-6'!$A$2:$CE$105,'Data Scenarios 5-6'!$A$1:$CE$1=""V_LAPTOP_4_OUTPUT""),'Data Scenarios 5-6'!$B$2:$B$105=$A8,'Data Scenarios 5-6'!$C$2:$C$105=""All"",'Data Scenarios 5-6'!$D$2:$D$105=""Standard Deviation"")"),0.0249431217881081)</f>
        <v>0.0249431217881081</v>
      </c>
      <c r="BM8" s="48" t="n">
        <f aca="false">IFERROR(__xludf.dummyfunction("FILTER(FILTER('Data Scenarios 5-6'!$A$2:$CE$105,'Data Scenarios 5-6'!$A$1:$CE$1=""I_LAPTOP_4_OUTPUT""),'Data Scenarios 5-6'!$B$2:$B$105=$A8,'Data Scenarios 5-6'!$C$2:$C$105=""All"",'Data Scenarios 5-6'!$D$2:$D$105=""Standard Deviation"")"),0.0008746905817544)</f>
        <v>0.0008746905817544</v>
      </c>
      <c r="BN8" s="154" t="n">
        <f aca="false">IFERROR(__xludf.dummyfunction("FILTER(FILTER('Data Scenarios 5-6'!$A$2:$CE$105,'Data Scenarios 5-6'!$A$1:$CE$1=""V_LAPTOP_4_OUTPUT * I_LAPTOP_4_OUTPUT""),'Data Scenarios 5-6'!$B$2:$B$105=$A8,'Data Scenarios 5-6'!$C$2:$C$105=""All"",'Data Scenarios 5-6'!$D$2:$D$105=""Covariance"")"),0.000000000817848285809356)</f>
        <v>8.17848285809356E-010</v>
      </c>
      <c r="BO8" s="38" t="n">
        <f aca="false">IFERROR(__xludf.dummyfunction("FILTER(FILTER('Data Scenarios 5-6'!$A$2:$CE$105,'Data Scenarios 5-6'!$A$1:$CE$1=""P_LAPTOP_4_OUTPUT""),'Data Scenarios 5-6'!$B$2:$B$105=$A8,'Data Scenarios 5-6'!$C$2:$C$105=""All"",'Data Scenarios 5-6'!$D$2:$D$105=""Standard Deviation"")"),0.0163747383024506)</f>
        <v>0.0163747383024506</v>
      </c>
      <c r="BP8" s="53" t="n">
        <f aca="false">ABS(D8)*SQRT((BL8/A8)^2+(BM8/B8)^2+2*BN8/(A8*B8))</f>
        <v>0.000446835711849419</v>
      </c>
      <c r="BQ8" s="59" t="n">
        <f aca="false">IFERROR(__xludf.dummyfunction("FILTER(FILTER('Data Scenarios 5-6'!$A$2:$CE$105,'Data Scenarios 5-6'!$A$1:$CE$1=""V_LAPTOP_5_OUTPUT""),'Data Scenarios 5-6'!$B$2:$B$105=$A8,'Data Scenarios 5-6'!$C$2:$C$105=""All"",'Data Scenarios 5-6'!$D$2:$D$105=""Standard Deviation"")"),0.025510531661969)</f>
        <v>0.025510531661969</v>
      </c>
      <c r="BR8" s="50" t="n">
        <f aca="false">IFERROR(__xludf.dummyfunction("FILTER(FILTER('Data Scenarios 5-6'!$A$2:$CE$105,'Data Scenarios 5-6'!$A$1:$CE$1=""I_LAPTOP_5_OUTPUT""),'Data Scenarios 5-6'!$B$2:$B$105=$A8,'Data Scenarios 5-6'!$C$2:$C$105=""All"",'Data Scenarios 5-6'!$D$2:$D$105=""Standard Deviation"")"),0.00174279713203482)</f>
        <v>0.00174279713203482</v>
      </c>
      <c r="BS8" s="48" t="n">
        <f aca="false">IFERROR(__xludf.dummyfunction("FILTER(FILTER('Data Scenarios 5-6'!$A$2:$CE$105,'Data Scenarios 5-6'!$A$1:$CE$1=""V_LAPTOP_5_OUTPUT * I_LAPTOP_5_OUTPUT""),'Data Scenarios 5-6'!$B$2:$B$105=$A8,'Data Scenarios 5-6'!$C$2:$C$105=""All"",'Data Scenarios 5-6'!$D$2:$D$105=""Covariance"")"),-0.000177752652917951)</f>
        <v>-0.000177752652917951</v>
      </c>
      <c r="BT8" s="38" t="n">
        <f aca="false">IFERROR(__xludf.dummyfunction("FILTER(FILTER('Data Scenarios 5-6'!$A$2:$CE$105,'Data Scenarios 5-6'!$A$1:$CE$1=""P_LAPTOP_5_OUTPUT""),'Data Scenarios 5-6'!$B$2:$B$105=$A8,'Data Scenarios 5-6'!$C$2:$C$105=""All"",'Data Scenarios 5-6'!$D$2:$D$105=""Standard Deviation"")"),0.0329371346168899)</f>
        <v>0.0329371346168899</v>
      </c>
      <c r="BU8" s="146" t="n">
        <f aca="false">ABS(I8)*SQRT((BQ8/F8)^2+(BR8/G8)^2+2*BS8/(F8*G8))</f>
        <v>0</v>
      </c>
      <c r="BV8" s="59" t="n">
        <f aca="false">IFERROR(__xludf.dummyfunction("FILTER(FILTER('Data Scenarios 5-6'!$A$2:$CE$105,'Data Scenarios 5-6'!$A$1:$CE$1=""V_LAPTOP_6_OUTPUT""),'Data Scenarios 5-6'!$B$2:$B$105=$A8,'Data Scenarios 5-6'!$C$2:$C$105=""All"",'Data Scenarios 5-6'!$D$2:$D$105=""Standard Deviation"")"),0.02026476930792)</f>
        <v>0.02026476930792</v>
      </c>
      <c r="BW8" s="50" t="n">
        <f aca="false">IFERROR(__xludf.dummyfunction("FILTER(FILTER('Data Scenarios 5-6'!$A$2:$CE$105,'Data Scenarios 5-6'!$A$1:$CE$1=""I_LAPTOP_6_OUTPUT""),'Data Scenarios 5-6'!$B$2:$B$105=$A8,'Data Scenarios 5-6'!$C$2:$C$105=""All"",'Data Scenarios 5-6'!$D$2:$D$105=""Standard Deviation"")"),0.00657268614270632)</f>
        <v>0.00657268614270632</v>
      </c>
      <c r="BX8" s="48" t="n">
        <f aca="false">IFERROR(__xludf.dummyfunction("FILTER(FILTER('Data Scenarios 5-6'!$A$2:$CE$105,'Data Scenarios 5-6'!$A$1:$CE$1=""V_LAPTOP_6_OUTPUT * I_LAPTOP_6_OUTPUT""),'Data Scenarios 5-6'!$B$2:$B$105=$A8,'Data Scenarios 5-6'!$C$2:$C$105=""All"",'Data Scenarios 5-6'!$D$2:$D$105=""Covariance"")"),0.00011615607716943)</f>
        <v>0.00011615607716943</v>
      </c>
      <c r="BY8" s="65" t="n">
        <f aca="false">IFERROR(__xludf.dummyfunction("FILTER(FILTER('Data Scenarios 5-6'!$A$2:$CE$105,'Data Scenarios 5-6'!$A$1:$CE$1=""P_LAPTOP_6_OUTPUT""),'Data Scenarios 5-6'!$B$2:$B$105=$A8,'Data Scenarios 5-6'!$C$2:$C$105=""All"",'Data Scenarios 5-6'!$D$2:$D$105=""Standard Deviation"")"),0.123316598636321)</f>
        <v>0.123316598636321</v>
      </c>
      <c r="BZ8" s="146" t="n">
        <f aca="false">ABS(M8)*SQRT((BV8/J8)^2+(BW8/K8)^2+2*BX8/(J8*K8))</f>
        <v>0</v>
      </c>
      <c r="CA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B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C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D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E8" s="148" t="n">
        <v>0</v>
      </c>
      <c r="CF8" s="54" t="n">
        <f aca="false">IFERROR(__xludf.dummyfunction("FILTER(FILTER('Data Scenarios 5-6'!$A$2:$CE$105,'Data Scenarios 5-6'!$A$1:$CE$1=""V_LED_2""),'Data Scenarios 5-6'!$B$2:$B$105=$A8,'Data Scenarios 5-6'!$C$2:$C$105=""All"",'Data Scenarios 5-6'!$D$2:$D$105=""Standard Deviation"")"),0.000238080912696732)</f>
        <v>0.000238080912696732</v>
      </c>
      <c r="CG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H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I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J8" s="148" t="n">
        <v>0</v>
      </c>
      <c r="CK8" s="54" t="n">
        <f aca="false">IFERROR(__xludf.dummyfunction("FILTER(FILTER('Data Scenarios 5-6'!$A$2:$CE$105,'Data Scenarios 5-6'!$A$1:$CE$1=""V_LED_1""),'Data Scenarios 5-6'!$B$2:$B$105=$A8,'Data Scenarios 5-6'!$C$2:$C$105=""All"",'Data Scenarios 5-6'!$D$2:$D$105=""Standard Deviation"")"),0.000406047209017531)</f>
        <v>0.000406047209017531</v>
      </c>
      <c r="CL8" s="147" t="n">
        <f aca="false">IFERROR(__xludf.dummyfunction("FILTER(FILTER('Data Scenarios 5-6'!$A$2:$CE$105,'Data Scenarios 5-6'!$A$1:$CE$1=""I_LED_1""),'Data Scenarios 5-6'!$B$2:$B$105=$A8,'Data Scenarios 5-6'!$C$2:$C$105=""All"",'Data Scenarios 5-6'!$D$2:$D$105=""Standard Deviation"")"),0)</f>
        <v>0</v>
      </c>
      <c r="CM8" s="147" t="n">
        <f aca="false">IFERROR(__xludf.dummyfunction("FILTER(FILTER('Data Scenarios 5-6'!$A$2:$CE$105,'Data Scenarios 5-6'!$A$1:$CE$1=""V_LED_1 * I_LED_1""),'Data Scenarios 5-6'!$B$2:$B$105=$A8,'Data Scenarios 5-6'!$C$2:$C$105=""All"",'Data Scenarios 5-6'!$D$2:$D$105=""Covariance"")"),0.00000018777030122864)</f>
        <v>1.8777030122864E-007</v>
      </c>
      <c r="CN8" s="147" t="n">
        <f aca="false">IFERROR(__xludf.dummyfunction("FILTER(FILTER('Data Scenarios 5-6'!$A$2:$CE$105,'Data Scenarios 5-6'!$A$1:$CE$1=""P_LED_1""),'Data Scenarios 5-6'!$B$2:$B$105=$A8,'Data Scenarios 5-6'!$C$2:$C$105=""All"",'Data Scenarios 5-6'!$D$2:$D$105=""Standard Deviation"")"),0.0000000273274098331063)</f>
        <v>2.73274098331063E-008</v>
      </c>
      <c r="CO8" s="148" t="n">
        <v>0</v>
      </c>
      <c r="CP8" s="147" t="n">
        <f aca="false">IFERROR(__xludf.dummyfunction("FILTER(FILTER('Data Scenarios 5-6'!$A$2:$CE$105,'Data Scenarios 5-6'!$A$1:$CE$1=""V_RESISTOR_1A""),'Data Scenarios 5-6'!$B$2:$B$105=$A8,'Data Scenarios 5-6'!$C$2:$C$105=""All"",'Data Scenarios 5-6'!$D$2:$D$105=""Standard Deviation"")"),0.000000186244243821068)</f>
        <v>1.86244243821068E-007</v>
      </c>
      <c r="CQ8" s="40"/>
      <c r="CR8" s="41" t="n">
        <f aca="false">IFERROR(__xludf.dummyfunction("FILTER(FILTER('Data Scenarios 5-6'!$A$2:$CE$105,'Data Scenarios 5-6'!$A$1:$CE$1=""P_RESISTOR_1A""),'Data Scenarios 5-6'!$B$2:$B$105=$A8,'Data Scenarios 5-6'!$C$2:$C$105=""All"",'Data Scenarios 5-6'!$D$2:$D$105=""Standard Deviation"")"),6.50658976057723E-032)</f>
        <v>6.50658976057723E-032</v>
      </c>
      <c r="CS8" s="150" t="n">
        <v>0</v>
      </c>
      <c r="CT8" s="147" t="n">
        <f aca="false">IFERROR(__xludf.dummyfunction("FILTER(FILTER('Data Scenarios 5-6'!$A$2:$CE$105,'Data Scenarios 5-6'!$A$1:$CE$1=""V_RESISTOR_1B""),'Data Scenarios 5-6'!$B$2:$B$105=$A8,'Data Scenarios 5-6'!$C$2:$C$105=""All"",'Data Scenarios 5-6'!$D$2:$D$105=""Standard Deviation"")"),0.000000106483588437286)</f>
        <v>1.06483588437286E-007</v>
      </c>
      <c r="CU8" s="40"/>
      <c r="CV8" s="41" t="n">
        <f aca="false">IFERROR(__xludf.dummyfunction("FILTER(FILTER('Data Scenarios 5-6'!$A$2:$CE$105,'Data Scenarios 5-6'!$A$1:$CE$1=""P_RESISTOR_1B""),'Data Scenarios 5-6'!$B$2:$B$105=$A8,'Data Scenarios 5-6'!$C$2:$C$105=""All"",'Data Scenarios 5-6'!$D$2:$D$105=""Standard Deviation"")"),2.79782288493788E-032)</f>
        <v>2.79782288493788E-032</v>
      </c>
      <c r="CW8" s="150" t="n">
        <v>0</v>
      </c>
      <c r="CX8" s="147" t="n">
        <f aca="false">IFERROR(__xludf.dummyfunction("FILTER(FILTER('Data Scenarios 5-6'!$A$2:$CE$105,'Data Scenarios 5-6'!$A$1:$CE$1=""V_RESISTOR_1C""),'Data Scenarios 5-6'!$B$2:$B$105=$A8,'Data Scenarios 5-6'!$C$2:$C$105=""All"",'Data Scenarios 5-6'!$D$2:$D$105=""Standard Deviation"")"),0.000000164804873329486)</f>
        <v>1.64804873329486E-007</v>
      </c>
      <c r="CY8" s="40"/>
      <c r="CZ8" s="41" t="n">
        <f aca="false">IFERROR(__xludf.dummyfunction("FILTER(FILTER('Data Scenarios 5-6'!$A$2:$CE$105,'Data Scenarios 5-6'!$A$1:$CE$1=""P_RESISTOR_1C""),'Data Scenarios 5-6'!$B$2:$B$105=$A8,'Data Scenarios 5-6'!$C$2:$C$105=""All"",'Data Scenarios 5-6'!$D$2:$D$105=""Standard Deviation"")"),2.61578812253439E-032)</f>
        <v>2.61578812253439E-032</v>
      </c>
      <c r="DA8" s="150" t="n">
        <v>0</v>
      </c>
      <c r="DB8" s="147" t="n">
        <f aca="false">IFERROR(__xludf.dummyfunction("FILTER(FILTER('Data Scenarios 5-6'!$A$2:$CE$105,'Data Scenarios 5-6'!$A$1:$CE$1=""V_RESISTOR_1D""),'Data Scenarios 5-6'!$B$2:$B$105=$A8,'Data Scenarios 5-6'!$C$2:$C$105=""All"",'Data Scenarios 5-6'!$D$2:$D$105=""Standard Deviation"")"),0.000000381496727936067)</f>
        <v>3.81496727936067E-007</v>
      </c>
      <c r="DC8" s="40"/>
      <c r="DD8" s="41" t="n">
        <f aca="false">IFERROR(__xludf.dummyfunction("FILTER(FILTER('Data Scenarios 5-6'!$A$2:$CE$105,'Data Scenarios 5-6'!$A$1:$CE$1=""P_RESISTOR_1D""),'Data Scenarios 5-6'!$B$2:$B$105=$A8,'Data Scenarios 5-6'!$C$2:$C$105=""All"",'Data Scenarios 5-6'!$D$2:$D$105=""Standard Deviation"")"),3.37313760101117E-032)</f>
        <v>3.37313760101117E-032</v>
      </c>
      <c r="DE8" s="150" t="n">
        <v>0</v>
      </c>
      <c r="DF8" s="147" t="n">
        <f aca="false">IFERROR(__xludf.dummyfunction("FILTER(FILTER('Data Scenarios 5-6'!$A$2:$CE$105,'Data Scenarios 5-6'!$A$1:$CE$1=""V_RESISTOR_1E""),'Data Scenarios 5-6'!$B$2:$B$105=$A8,'Data Scenarios 5-6'!$C$2:$C$105=""All"",'Data Scenarios 5-6'!$D$2:$D$105=""Standard Deviation"")"),0.000000169179695174271)</f>
        <v>1.69179695174271E-007</v>
      </c>
      <c r="DG8" s="40"/>
      <c r="DH8" s="41" t="n">
        <f aca="false">IFERROR(__xludf.dummyfunction("FILTER(FILTER('Data Scenarios 5-6'!$A$2:$CE$105,'Data Scenarios 5-6'!$A$1:$CE$1=""P_RESISTOR_1E""),'Data Scenarios 5-6'!$B$2:$B$105=$A8,'Data Scenarios 5-6'!$C$2:$C$105=""All"",'Data Scenarios 5-6'!$D$2:$D$105=""Standard Deviation"")"),8.89166487143168E-032)</f>
        <v>8.89166487143168E-032</v>
      </c>
      <c r="DI8" s="150" t="n">
        <v>0</v>
      </c>
      <c r="DJ8" s="147" t="n">
        <f aca="false">IFERROR(__xludf.dummyfunction("FILTER(FILTER('Data Scenarios 5-6'!$A$2:$CE$105,'Data Scenarios 5-6'!$A$1:$CE$1=""V_RESISTOR_1F""),'Data Scenarios 5-6'!$B$2:$B$105=$A8,'Data Scenarios 5-6'!$C$2:$C$105=""All"",'Data Scenarios 5-6'!$D$2:$D$105=""Standard Deviation"")"),0.000000172996518978572)</f>
        <v>1.72996518978572E-007</v>
      </c>
      <c r="DK8" s="40"/>
      <c r="DL8" s="41" t="n">
        <f aca="false">IFERROR(__xludf.dummyfunction("FILTER(FILTER('Data Scenarios 5-6'!$A$2:$CE$105,'Data Scenarios 5-6'!$A$1:$CE$1=""P_RESISTOR_1F""),'Data Scenarios 5-6'!$B$2:$B$105=$A8,'Data Scenarios 5-6'!$C$2:$C$105=""All"",'Data Scenarios 5-6'!$D$2:$D$105=""Standard Deviation"")"),2.00191694755217E-032)</f>
        <v>2.00191694755217E-032</v>
      </c>
      <c r="DM8" s="150" t="n">
        <v>0</v>
      </c>
      <c r="DN8" s="147" t="n">
        <f aca="false">IFERROR(__xludf.dummyfunction("FILTER(FILTER('Data Scenarios 5-6'!$A$2:$CE$105,'Data Scenarios 5-6'!$A$1:$CE$1=""V_RESISTOR_1G""),'Data Scenarios 5-6'!$B$2:$B$105=$A8,'Data Scenarios 5-6'!$C$2:$C$105=""All"",'Data Scenarios 5-6'!$D$2:$D$105=""Standard Deviation"")"),0.0000000759465182497477)</f>
        <v>7.59465182497477E-008</v>
      </c>
      <c r="DO8" s="40"/>
      <c r="DP8" s="41" t="n">
        <f aca="false">IFERROR(__xludf.dummyfunction("FILTER(FILTER('Data Scenarios 5-6'!$A$2:$CE$105,'Data Scenarios 5-6'!$A$1:$CE$1=""P_RESISTOR_1G""),'Data Scenarios 5-6'!$B$2:$B$105=$A8,'Data Scenarios 5-6'!$C$2:$C$105=""All"",'Data Scenarios 5-6'!$D$2:$D$105=""Standard Deviation"")"),6.81407717753157E-033)</f>
        <v>6.81407717753157E-033</v>
      </c>
      <c r="DQ8" s="150" t="n">
        <v>0</v>
      </c>
      <c r="DR8" s="57" t="n">
        <f aca="false">IFERROR(__xludf.dummyfunction("FILTER(FILTER('Data Scenarios 5-6'!$A$2:$CE$105,'Data Scenarios 5-6'!$A$1:$CE$1=""P_In""),'Data Scenarios 5-6'!$B$2:$B$105=$A8,'Data Scenarios 5-6'!$C$2:$C$105=""All"",'Data Scenarios 5-6'!$D$2:$D$105=""Standard Deviation"")"),0.0695547434526022)</f>
        <v>0.0695547434526022</v>
      </c>
      <c r="DS8" s="58" t="n">
        <f aca="false">IFERROR(__xludf.dummyfunction("FILTER(FILTER('Data Scenarios 5-6'!$A$2:$CE$105,'Data Scenarios 5-6'!$A$1:$CE$1=""P_Secondary""),'Data Scenarios 5-6'!$B$2:$B$105=$A8,'Data Scenarios 5-6'!$C$2:$C$105=""All"",'Data Scenarios 5-6'!$D$2:$D$105=""Standard Deviation"")"),0.0245679515876932)</f>
        <v>0.0245679515876932</v>
      </c>
      <c r="DT8" s="74" t="n">
        <f aca="false">IFERROR(__xludf.dummyfunction("FILTER(FILTER('Data Scenarios 5-6'!$A$2:$CE$105,'Data Scenarios 5-6'!$A$1:$CE$1=""P_Out""),'Data Scenarios 5-6'!$B$2:$B$105=$A8,'Data Scenarios 5-6'!$C$2:$C$105=""All"",'Data Scenarios 5-6'!$D$2:$D$105=""Standard Deviation"")"),0.139886684566457)</f>
        <v>0.139886684566457</v>
      </c>
      <c r="DU8" s="62" t="n">
        <f aca="false">SQRT(BO8^2+BT8^2+BY8^2+CD8^2+CI8^2+CN8^2+CS8^2+CW8^2+DA8^2+DE8^2+DI8^2+DM8^2+DQ8^2)</f>
        <v>0.128685548491191</v>
      </c>
      <c r="DV8" s="59" t="n">
        <f aca="false">IFERROR(__xludf.dummyfunction("FILTER(FILTER('Data Scenarios 5-6'!$A$2:$CE$105,'Data Scenarios 5-6'!$A$1:$CE$1=""P_TransformerLoss""),'Data Scenarios 5-6'!$B$2:$B$105=$A8,'Data Scenarios 5-6'!$C$2:$C$105=""All"",'Data Scenarios 5-6'!$D$2:$D$105=""Standard Deviation"")"),0.045948917801687)</f>
        <v>0.045948917801687</v>
      </c>
      <c r="DW8" s="61" t="n">
        <f aca="false">SQRT(DR8^2+DS8^2)</f>
        <v>0.0737661614968038</v>
      </c>
      <c r="DX8" s="65" t="n">
        <f aca="false">IFERROR(__xludf.dummyfunction("FILTER(FILTER('Data Scenarios 5-6'!$A$2:$CE$105,'Data Scenarios 5-6'!$A$1:$CE$1=""P_ConverterLoss""),'Data Scenarios 5-6'!$B$2:$B$105=$A8,'Data Scenarios 5-6'!$C$2:$C$105=""All"",'Data Scenarios 5-6'!$D$2:$D$105=""Standard Deviation"")"),0.115324935224658)</f>
        <v>0.115324935224658</v>
      </c>
      <c r="DY8" s="61" t="n">
        <f aca="false">SQRT(DS8^2+MAX(DT8:DU8)^2)</f>
        <v>0.142027704213687</v>
      </c>
      <c r="DZ8" s="38" t="n">
        <f aca="false">IFERROR(__xludf.dummyfunction("FILTER(FILTER('Data Scenarios 5-6'!$A$2:$CE$105,'Data Scenarios 5-6'!$A$1:$CE$1=""P_SystemLoss""),'Data Scenarios 5-6'!$B$2:$B$105=$A8,'Data Scenarios 5-6'!$C$2:$C$105=""All"",'Data Scenarios 5-6'!$D$2:$D$105=""Standard Deviation"")"),0.0732082048430745)</f>
        <v>0.0732082048430745</v>
      </c>
      <c r="EA8" s="62" t="n">
        <f aca="false">SQRT(DR8^2+MAX(DT8:DU8)^2)</f>
        <v>0.156224667884917</v>
      </c>
      <c r="EB8" s="151" t="n">
        <v>67.9438522584278</v>
      </c>
      <c r="EC8" s="152" t="n">
        <v>20.0448698801705</v>
      </c>
      <c r="ED8" s="152" t="n">
        <v>47.8989823782573</v>
      </c>
      <c r="EE8" s="152" t="n">
        <v>19.5228698801705</v>
      </c>
      <c r="EF8" s="152" t="n">
        <v>67.4218522584278</v>
      </c>
      <c r="EG8" s="45" t="n">
        <f aca="false">EB8-BB8</f>
        <v>-3.9629766582388</v>
      </c>
      <c r="EH8" s="65" t="n">
        <f aca="false">TINV(0.1,2)*DR8/SQRT(3)</f>
        <v>0.117259174522642</v>
      </c>
      <c r="EI8" s="66" t="n">
        <f aca="false">EG8/BB8</f>
        <v>-0.055112660618528</v>
      </c>
      <c r="EJ8" s="67" t="n">
        <f aca="false">EH8/BB8</f>
        <v>0.00163070985453321</v>
      </c>
      <c r="EK8" s="45" t="n">
        <f aca="false">EC8-BC8</f>
        <v>0.6394496301705</v>
      </c>
      <c r="EL8" s="65" t="n">
        <f aca="false">TINV(0.1,2)*DS8/SQRT(3)</f>
        <v>0.0414179907779869</v>
      </c>
      <c r="EM8" s="66" t="n">
        <f aca="false">EK8/BC8</f>
        <v>0.0329521145088574</v>
      </c>
      <c r="EN8" s="67" t="n">
        <f aca="false">EL8/BC8</f>
        <v>0.00213435165249704</v>
      </c>
      <c r="EO8" s="45" t="n">
        <f aca="false">ED8-BF8</f>
        <v>-4.6024262884093</v>
      </c>
      <c r="EP8" s="65" t="n">
        <f aca="false">TINV(0.1,2)*DV8/SQRT(3)</f>
        <v>0.0774631880470684</v>
      </c>
      <c r="EQ8" s="66" t="n">
        <f aca="false">EO8/BF8</f>
        <v>-0.0876629104874171</v>
      </c>
      <c r="ER8" s="66" t="n">
        <f aca="false">EP8/BF8</f>
        <v>0.00147544970724281</v>
      </c>
      <c r="ES8" s="45" t="n">
        <f aca="false">EE8-BH8</f>
        <v>0.677265712319802</v>
      </c>
      <c r="ET8" s="65" t="n">
        <f aca="false">TINV(0.1,2)*MAX(DX8,DY8)/SQRT(3)</f>
        <v>0.23943803871251</v>
      </c>
      <c r="EU8" s="66" t="n">
        <f aca="false">ES8/BH8</f>
        <v>0.0359375961782732</v>
      </c>
      <c r="EV8" s="67" t="n">
        <f aca="false">ET8/BH8</f>
        <v>0.0127052460924004</v>
      </c>
      <c r="EW8" s="45" t="n">
        <f aca="false">EF8-BJ8</f>
        <v>-3.9251605760896</v>
      </c>
      <c r="EX8" s="65" t="n">
        <f aca="false">TINV(0.1,2)*MAX(DZ8,EA8)/SQRT(3)</f>
        <v>0.263372053248137</v>
      </c>
      <c r="EY8" s="66" t="n">
        <f aca="false">EW8/BJ8</f>
        <v>-0.0550150653846382</v>
      </c>
      <c r="EZ8" s="66" t="n">
        <f aca="false">EX8/BJ8</f>
        <v>0.00369142368803867</v>
      </c>
    </row>
    <row r="9" customFormat="false" ht="12.75" hidden="false" customHeight="false" outlineLevel="0" collapsed="false">
      <c r="A9" s="37" t="n">
        <v>6.2</v>
      </c>
      <c r="B9" s="38" t="n">
        <f aca="false">IFERROR(__xludf.dummyfunction("FILTER(FILTER('Data Scenarios 5-6'!$A$2:$CE$105,'Data Scenarios 5-6'!$A$1:$CE$1=""V_LAPTOP_4_OUTPUT""),'Data Scenarios 5-6'!$B$2:$B$105=$A9,'Data Scenarios 5-6'!$C$2:$C$105=""All"",'Data Scenarios 5-6'!$D$2:$D$105=""Mean"")"),18.7244203805555)</f>
        <v>18.7244203805555</v>
      </c>
      <c r="C9" s="3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5-6'!$D$2:$D$105=""Mean"")"),0.316633282755641)</f>
        <v>0.316633282755641</v>
      </c>
      <c r="D9" s="65" t="n">
        <f aca="false">IFERROR(__xludf.dummyfunction("FILTER(FILTER('Data Scenarios 5-6'!$A$2:$CE$105,'Data Scenarios 5-6'!$A$1:$CE$1=""P_LAPTOP_4_OUTPUT""),'Data Scenarios 5-6'!$B$2:$B$105=$A9,'Data Scenarios 5-6'!$C$2:$C$105=""All"",'Data Scenarios 5-6'!$D$2:$D$105=""Mean"")"),5.92877445356687)</f>
        <v>5.92877445356687</v>
      </c>
      <c r="E9" s="68" t="n">
        <f aca="false">B9*C9</f>
        <v>5.92877469279192</v>
      </c>
      <c r="F9" s="38" t="n">
        <f aca="false">IFERROR(__xludf.dummyfunction("FILTER(FILTER('Data Scenarios 5-6'!$A$2:$CE$105,'Data Scenarios 5-6'!$A$1:$CE$1=""V_LAPTOP_5_OUTPUT""),'Data Scenarios 5-6'!$B$2:$B$105=$A9,'Data Scenarios 5-6'!$C$2:$C$105=""All"",'Data Scenarios 5-6'!$D$2:$D$105=""Mean"")"),18.5076251166666)</f>
        <v>18.5076251166666</v>
      </c>
      <c r="G9" s="3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5-6'!$D$2:$D$105=""Mean"")"),0.325752128087229)</f>
        <v>0.325752128087229</v>
      </c>
      <c r="H9" s="65" t="n">
        <f aca="false">IFERROR(__xludf.dummyfunction("FILTER(FILTER('Data Scenarios 5-6'!$A$2:$CE$105,'Data Scenarios 5-6'!$A$1:$CE$1=""P_LAPTOP_5_OUTPUT""),'Data Scenarios 5-6'!$B$2:$B$105=$A9,'Data Scenarios 5-6'!$C$2:$C$105=""All"",'Data Scenarios 5-6'!$D$2:$D$105=""Mean"")"),6.02889771445193)</f>
        <v>6.02889771445193</v>
      </c>
      <c r="I9" s="68" t="n">
        <f aca="false">F9*G9</f>
        <v>6.0288982675948</v>
      </c>
      <c r="J9" s="38" t="n">
        <f aca="false">IFERROR(__xludf.dummyfunction("FILTER(FILTER('Data Scenarios 5-6'!$A$2:$CE$105,'Data Scenarios 5-6'!$A$1:$CE$1=""V_LAPTOP_6_OUTPUT""),'Data Scenarios 5-6'!$B$2:$B$105=$A9,'Data Scenarios 5-6'!$C$2:$C$105=""All"",'Data Scenarios 5-6'!$D$2:$D$105=""Mean"")"),18.7511162194444)</f>
        <v>18.7511162194444</v>
      </c>
      <c r="K9" s="3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5-6'!$D$2:$D$105=""Mean"")"),0.377359178515617)</f>
        <v>0.377359178515617</v>
      </c>
      <c r="L9" s="65" t="n">
        <f aca="false">IFERROR(__xludf.dummyfunction("FILTER(FILTER('Data Scenarios 5-6'!$A$2:$CE$105,'Data Scenarios 5-6'!$A$1:$CE$1=""P_LAPTOP_6_OUTPUT""),'Data Scenarios 5-6'!$B$2:$B$105=$A9,'Data Scenarios 5-6'!$C$2:$C$105=""All"",'Data Scenarios 5-6'!$D$2:$D$105=""Mean"")"),7.0759060351436)</f>
        <v>7.0759060351436</v>
      </c>
      <c r="M9" s="68" t="n">
        <f aca="false">J9*K9</f>
        <v>7.0759058128204</v>
      </c>
      <c r="N9" s="38" t="n">
        <f aca="false">IFERROR(__xludf.dummyfunction("FILTER(FILTER('Data Scenarios 5-6'!$A$2:$CE$105,'Data Scenarios 5-6'!$A$1:$CE$1=""V_LED_1""),'Data Scenarios 5-6'!$B$2:$B$105=$A9,'Data Scenarios 5-6'!$C$2:$C$105=""All"",'Data Scenarios 5-6'!$D$2:$D$105=""Mean"")"),24.2616832222222)</f>
        <v>24.2616832222222</v>
      </c>
      <c r="O9" s="38" t="n">
        <f aca="false">IFERROR(__xludf.dummyfunction("FILTER(FILTER('Data Scenarios 5-6'!$A$2:$CE$105,'Data Scenarios 5-6'!$A$1:$CE$1=""I_LED_1""),'Data Scenarios 5-6'!$B$2:$B$105=$A9,'Data Scenarios 5-6'!$C$2:$C$105=""All"",'Data Scenarios 5-6'!$D$2:$D$105=""Mean"")"),1.25675654722222)</f>
        <v>1.25675654722222</v>
      </c>
      <c r="P9" s="65" t="n">
        <f aca="false">IFERROR(__xludf.dummyfunction("FILTER(FILTER('Data Scenarios 5-6'!$A$2:$CE$105,'Data Scenarios 5-6'!$A$1:$CE$1=""P_LED_1""),'Data Scenarios 5-6'!$B$2:$B$105=$A9,'Data Scenarios 5-6'!$C$2:$C$105=""All"",'Data Scenarios 5-6'!$D$2:$D$105=""Mean"")"),30.4908779722222)</f>
        <v>30.4908779722222</v>
      </c>
      <c r="Q9" s="68" t="n">
        <f aca="false">N9*O9</f>
        <v>30.4910292361592</v>
      </c>
      <c r="R9" s="38" t="n">
        <f aca="false">IFERROR(__xludf.dummyfunction("FILTER(FILTER('Data Scenarios 5-6'!$A$2:$CE$105,'Data Scenarios 5-6'!$A$1:$CE$1=""V_LED_2""),'Data Scenarios 5-6'!$B$2:$B$105=$A9,'Data Scenarios 5-6'!$C$2:$C$105=""All"",'Data Scenarios 5-6'!$D$2:$D$105=""Mean"")"),24.3952651111111)</f>
        <v>24.3952651111111</v>
      </c>
      <c r="S9" s="38" t="n">
        <f aca="false">IFERROR(__xludf.dummyfunction("FILTER(FILTER('Data Scenarios 5-6'!$A$2:$CE$105,'Data Scenarios 5-6'!$A$1:$CE$1=""I_LED_2""),'Data Scenarios 5-6'!$B$2:$B$105=$A9,'Data Scenarios 5-6'!$C$2:$C$105=""All"",'Data Scenarios 5-6'!$D$2:$D$105=""Mean"")"),1.2429966)</f>
        <v>1.2429966</v>
      </c>
      <c r="T9" s="65" t="n">
        <f aca="false">IFERROR(__xludf.dummyfunction("FILTER(FILTER('Data Scenarios 5-6'!$A$2:$CE$105,'Data Scenarios 5-6'!$A$1:$CE$1=""P_LED_2""),'Data Scenarios 5-6'!$B$2:$B$105=$A9,'Data Scenarios 5-6'!$C$2:$C$105=""All"",'Data Scenarios 5-6'!$D$2:$D$105=""Mean"")"),30.3230955277777)</f>
        <v>30.3230955277777</v>
      </c>
      <c r="U9" s="68" t="n">
        <f aca="false">R9*S9</f>
        <v>30.3232315892097</v>
      </c>
      <c r="V9" s="38" t="n">
        <f aca="false">IFERROR(__xludf.dummyfunction("FILTER(FILTER('Data Scenarios 5-6'!$A$2:$CE$105,'Data Scenarios 5-6'!$A$1:$CE$1=""V_LED_3""),'Data Scenarios 5-6'!$B$2:$B$105=$A9,'Data Scenarios 5-6'!$C$2:$C$105=""All"",'Data Scenarios 5-6'!$D$2:$D$105=""Mean"")"),24.3973414166666)</f>
        <v>24.3973414166666</v>
      </c>
      <c r="W9" s="38" t="n">
        <f aca="false">IFERROR(__xludf.dummyfunction("FILTER(FILTER('Data Scenarios 5-6'!$A$2:$CE$105,'Data Scenarios 5-6'!$A$1:$CE$1=""I_LED_3""),'Data Scenarios 5-6'!$B$2:$B$105=$A9,'Data Scenarios 5-6'!$C$2:$C$105=""All"",'Data Scenarios 5-6'!$D$2:$D$105=""Mean"")"),1.25361110833333)</f>
        <v>1.25361110833333</v>
      </c>
      <c r="X9" s="65" t="n">
        <f aca="false">IFERROR(__xludf.dummyfunction("FILTER(FILTER('Data Scenarios 5-6'!$A$2:$CE$105,'Data Scenarios 5-6'!$A$1:$CE$1=""P_LED_3""),'Data Scenarios 5-6'!$B$2:$B$105=$A9,'Data Scenarios 5-6'!$C$2:$C$105=""All"",'Data Scenarios 5-6'!$D$2:$D$105=""Mean"")"),30.5846427222222)</f>
        <v>30.5846427222222</v>
      </c>
      <c r="Y9" s="68" t="n">
        <f aca="false">V9*W9</f>
        <v>30.5847782137341</v>
      </c>
      <c r="Z9" s="38" t="n">
        <f aca="false">IFERROR(__xludf.dummyfunction("FILTER(FILTER('Data Scenarios 5-6'!$A$2:$CE$105,'Data Scenarios 5-6'!$A$1:$CE$1=""V_RESISTOR_1A""),'Data Scenarios 5-6'!$B$2:$B$105=$A9,'Data Scenarios 5-6'!$C$2:$C$105=""All"",'Data Scenarios 5-6'!$D$2:$D$105=""Mean"")"),24.3247482194444)</f>
        <v>24.3247482194444</v>
      </c>
      <c r="AA9" s="40" t="n">
        <v>6.907</v>
      </c>
      <c r="AB9" s="41" t="n">
        <f aca="false">IFERROR(__xludf.dummyfunction("FILTER(FILTER('Data Scenarios 5-6'!$A$2:$CE$105,'Data Scenarios 5-6'!$A$1:$CE$1=""P_RESISTOR_1A""),'Data Scenarios 5-6'!$B$2:$B$105=$A9,'Data Scenarios 5-6'!$C$2:$C$105=""All"",'Data Scenarios 5-6'!$D$2:$D$105=""Mean"")"),85.6285642822093)</f>
        <v>85.6285642822093</v>
      </c>
      <c r="AC9" s="39" t="n">
        <f aca="false">Z9^2/AA9</f>
        <v>85.6657558910328</v>
      </c>
      <c r="AD9" s="38" t="n">
        <f aca="false">IFERROR(__xludf.dummyfunction("FILTER(FILTER('Data Scenarios 5-6'!$A$2:$CE$105,'Data Scenarios 5-6'!$A$1:$CE$1=""V_RESISTOR_1B""),'Data Scenarios 5-6'!$B$2:$B$105=$A9,'Data Scenarios 5-6'!$C$2:$C$105=""All"",'Data Scenarios 5-6'!$D$2:$D$105=""Mean"")"),0.0000880235388888888)</f>
        <v>8.80235388888888E-005</v>
      </c>
      <c r="AE9" s="40"/>
      <c r="AF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5-6'!$D$2:$D$105=""Mean"")"),8.98019386595679E-028)</f>
        <v>8.98019386595679E-028</v>
      </c>
      <c r="AG9" s="42" t="n">
        <v>0</v>
      </c>
      <c r="AH9" s="38" t="n">
        <f aca="false">IFERROR(__xludf.dummyfunction("FILTER(FILTER('Data Scenarios 5-6'!$A$2:$CE$105,'Data Scenarios 5-6'!$A$1:$CE$1=""V_RESISTOR_1C""),'Data Scenarios 5-6'!$B$2:$B$105=$A9,'Data Scenarios 5-6'!$C$2:$C$105=""All"",'Data Scenarios 5-6'!$D$2:$D$105=""Mean"")"),0.0000207075333333333)</f>
        <v>2.07075333333333E-005</v>
      </c>
      <c r="AI9" s="40"/>
      <c r="AJ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5-6'!$D$2:$D$105=""Mean"")"),5.43284627790123E-029)</f>
        <v>5.43284627790123E-029</v>
      </c>
      <c r="AK9" s="42" t="n">
        <v>0</v>
      </c>
      <c r="AL9" s="38" t="n">
        <f aca="false">IFERROR(__xludf.dummyfunction("FILTER(FILTER('Data Scenarios 5-6'!$A$2:$CE$105,'Data Scenarios 5-6'!$A$1:$CE$1=""V_RESISTOR_1D""),'Data Scenarios 5-6'!$B$2:$B$105=$A9,'Data Scenarios 5-6'!$C$2:$C$105=""All"",'Data Scenarios 5-6'!$D$2:$D$105=""Mean"")"),0.00000867566944444444)</f>
        <v>8.67566944444444E-006</v>
      </c>
      <c r="AM9" s="40"/>
      <c r="AN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5-6'!$D$2:$D$105=""Mean"")"),9.65987681265432E-030)</f>
        <v>9.65987681265432E-030</v>
      </c>
      <c r="AO9" s="42" t="n">
        <v>0</v>
      </c>
      <c r="AP9" s="38" t="n">
        <f aca="false">IFERROR(__xludf.dummyfunction("FILTER(FILTER('Data Scenarios 5-6'!$A$2:$CE$105,'Data Scenarios 5-6'!$A$1:$CE$1=""V_RESISTOR_1E""),'Data Scenarios 5-6'!$B$2:$B$105=$A9,'Data Scenarios 5-6'!$C$2:$C$105=""All"",'Data Scenarios 5-6'!$D$2:$D$105=""Mean"")"),-0.0000116699777777777)</f>
        <v>-1.16699777777777E-005</v>
      </c>
      <c r="AQ9" s="40"/>
      <c r="AR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5-6'!$D$2:$D$105=""Mean"")"),1.94010452018518E-029)</f>
        <v>1.94010452018518E-029</v>
      </c>
      <c r="AS9" s="42" t="n">
        <v>0</v>
      </c>
      <c r="AT9" s="38" t="n">
        <f aca="false">IFERROR(__xludf.dummyfunction("FILTER(FILTER('Data Scenarios 5-6'!$A$2:$CE$105,'Data Scenarios 5-6'!$A$1:$CE$1=""V_RESISTOR_1F""),'Data Scenarios 5-6'!$B$2:$B$105=$A9,'Data Scenarios 5-6'!$C$2:$C$105=""All"",'Data Scenarios 5-6'!$D$2:$D$105=""Mean"")"),-0.00000976363055555555)</f>
        <v>-9.76363055555555E-006</v>
      </c>
      <c r="AU9" s="40"/>
      <c r="AV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5-6'!$D$2:$D$105=""Mean"")"),1.15453632762345E-029)</f>
        <v>1.15453632762345E-029</v>
      </c>
      <c r="AW9" s="42" t="n">
        <v>0</v>
      </c>
      <c r="AX9" s="38" t="n">
        <f aca="false">IFERROR(__xludf.dummyfunction("FILTER(FILTER('Data Scenarios 5-6'!$A$2:$CE$105,'Data Scenarios 5-6'!$A$1:$CE$1=""V_RESISTOR_1G""),'Data Scenarios 5-6'!$B$2:$B$105=$A9,'Data Scenarios 5-6'!$C$2:$C$105=""All"",'Data Scenarios 5-6'!$D$2:$D$105=""Mean"")"),-0.000111024886111111)</f>
        <v>-0.000111024886111111</v>
      </c>
      <c r="AY9" s="40"/>
      <c r="AZ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5-6'!$D$2:$D$105=""Mean"")"),1.39117162490462E-027)</f>
        <v>1.39117162490462E-027</v>
      </c>
      <c r="BA9" s="42" t="n">
        <v>0</v>
      </c>
      <c r="BB9" s="44" t="n">
        <f aca="false">IFERROR(__xludf.dummyfunction("FILTER(FILTER('Data Scenarios 5-6'!$A$2:$CE$105,'Data Scenarios 5-6'!$A$1:$CE$1=""P_In""),'Data Scenarios 5-6'!$B$2:$B$105=$A9,'Data Scenarios 5-6'!$C$2:$C$105=""All"",'Data Scenarios 5-6'!$D$2:$D$105=""Mean"")"),290.482114988888)</f>
        <v>290.482114988888</v>
      </c>
      <c r="BC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5-6'!$D$2:$D$105=""Mean"")"),236.600651111111)</f>
        <v>236.600651111111</v>
      </c>
      <c r="BD9" s="45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BE9" s="46" t="n">
        <f aca="false">E9+I9+M9+Q9+U9+Y9+AC9+AG9+AK9+AO9+AS9+AW9+BA9</f>
        <v>196.098373703343</v>
      </c>
      <c r="BF9" s="45" t="n">
        <f aca="false">IFERROR(__xludf.dummyfunction("FILTER(FILTER('Data Scenarios 5-6'!$A$2:$CE$105,'Data Scenarios 5-6'!$A$1:$CE$1=""P_TransformerLoss""),'Data Scenarios 5-6'!$B$2:$B$105=$A9,'Data Scenarios 5-6'!$C$2:$C$105=""All"",'Data Scenarios 5-6'!$D$2:$D$105=""Mean"")"),53.8814638777777)</f>
        <v>53.8814638777777</v>
      </c>
      <c r="BG9" s="46" t="n">
        <f aca="false">BB9-BC9</f>
        <v>53.881463877777</v>
      </c>
      <c r="BH9" s="41" t="n">
        <f aca="false">IFERROR(__xludf.dummyfunction("FILTER(FILTER('Data Scenarios 5-6'!$A$2:$CE$105,'Data Scenarios 5-6'!$A$1:$CE$1=""P_ConverterLoss""),'Data Scenarios 5-6'!$B$2:$B$105=$A9,'Data Scenarios 5-6'!$C$2:$C$105=""All"",'Data Scenarios 5-6'!$D$2:$D$105=""Mean"")"),40.5398924035171)</f>
        <v>40.5398924035171</v>
      </c>
      <c r="BI9" s="46" t="n">
        <f aca="false">BC9-BE9</f>
        <v>40.5022774077681</v>
      </c>
      <c r="BJ9" s="41" t="n">
        <f aca="false">IFERROR(__xludf.dummyfunction("FILTER(FILTER('Data Scenarios 5-6'!$A$2:$CE$105,'Data Scenarios 5-6'!$A$1:$CE$1=""P_SystemLoss""),'Data Scenarios 5-6'!$B$2:$B$105=$A9,'Data Scenarios 5-6'!$C$2:$C$105=""All"",'Data Scenarios 5-6'!$D$2:$D$105=""Mean"")"),94.4213562812948)</f>
        <v>94.4213562812948</v>
      </c>
      <c r="BK9" s="46" t="n">
        <f aca="false">BB9-BE9</f>
        <v>94.3837412855451</v>
      </c>
      <c r="BL9" s="47" t="n">
        <f aca="false">IFERROR(__xludf.dummyfunction("FILTER(FILTER('Data Scenarios 5-6'!$A$2:$CE$105,'Data Scenarios 5-6'!$A$1:$CE$1=""V_LAPTOP_4_OUTPUT""),'Data Scenarios 5-6'!$B$2:$B$105=$A9,'Data Scenarios 5-6'!$C$2:$C$105=""All"",'Data Scenarios 5-6'!$D$2:$D$105=""Standard Deviation"")"),0.0010785913336815)</f>
        <v>0.0010785913336815</v>
      </c>
      <c r="BM9" s="48" t="n">
        <f aca="false">IFERROR(__xludf.dummyfunction("FILTER(FILTER('Data Scenarios 5-6'!$A$2:$CE$105,'Data Scenarios 5-6'!$A$1:$CE$1=""I_LAPTOP_4_OUTPUT""),'Data Scenarios 5-6'!$B$2:$B$105=$A9,'Data Scenarios 5-6'!$C$2:$C$105=""All"",'Data Scenarios 5-6'!$D$2:$D$105=""Standard Deviation"")"),0.000358749756605942)</f>
        <v>0.000358749756605942</v>
      </c>
      <c r="BN9" s="48" t="n">
        <f aca="false">IFERROR(__xludf.dummyfunction("FILTER(FILTER('Data Scenarios 5-6'!$A$2:$CE$105,'Data Scenarios 5-6'!$A$1:$CE$1=""V_LAPTOP_4_OUTPUT * I_LAPTOP_4_OUTPUT""),'Data Scenarios 5-6'!$B$2:$B$105=$A9,'Data Scenarios 5-6'!$C$2:$C$105=""All"",'Data Scenarios 5-6'!$D$2:$D$105=""Covariance"")"),0.000167752373072777)</f>
        <v>0.000167752373072777</v>
      </c>
      <c r="BO9" s="50" t="n">
        <f aca="false">IFERROR(__xludf.dummyfunction("FILTER(FILTER('Data Scenarios 5-6'!$A$2:$CE$105,'Data Scenarios 5-6'!$A$1:$CE$1=""P_LAPTOP_4_OUTPUT""),'Data Scenarios 5-6'!$B$2:$B$105=$A9,'Data Scenarios 5-6'!$C$2:$C$105=""All"",'Data Scenarios 5-6'!$D$2:$D$105=""Standard Deviation"")"),0.00639928329525743)</f>
        <v>0.00639928329525743</v>
      </c>
      <c r="BP9" s="71" t="n">
        <f aca="false">ABS(D9)*SQRT((BL9/A9)^2+(BM9/B9)^2+2*BN9/(A9*B9))</f>
        <v>0.0101321981528746</v>
      </c>
      <c r="BQ9" s="47" t="n">
        <f aca="false">IFERROR(__xludf.dummyfunction("FILTER(FILTER('Data Scenarios 5-6'!$A$2:$CE$105,'Data Scenarios 5-6'!$A$1:$CE$1=""V_LAPTOP_5_OUTPUT""),'Data Scenarios 5-6'!$B$2:$B$105=$A9,'Data Scenarios 5-6'!$C$2:$C$105=""All"",'Data Scenarios 5-6'!$D$2:$D$105=""Standard Deviation"")"),0.00297173979494053)</f>
        <v>0.00297173979494053</v>
      </c>
      <c r="BR9" s="48" t="n">
        <f aca="false">IFERROR(__xludf.dummyfunction("FILTER(FILTER('Data Scenarios 5-6'!$A$2:$CE$105,'Data Scenarios 5-6'!$A$1:$CE$1=""I_LAPTOP_5_OUTPUT""),'Data Scenarios 5-6'!$B$2:$B$105=$A9,'Data Scenarios 5-6'!$C$2:$C$105=""All"",'Data Scenarios 5-6'!$D$2:$D$105=""Standard Deviation"")"),0.00023051506961457)</f>
        <v>0.00023051506961457</v>
      </c>
      <c r="BS9" s="49" t="n">
        <f aca="false">IFERROR(__xludf.dummyfunction("FILTER(FILTER('Data Scenarios 5-6'!$A$2:$CE$105,'Data Scenarios 5-6'!$A$1:$CE$1=""V_LAPTOP_5_OUTPUT * I_LAPTOP_5_OUTPUT""),'Data Scenarios 5-6'!$B$2:$B$105=$A9,'Data Scenarios 5-6'!$C$2:$C$105=""All"",'Data Scenarios 5-6'!$D$2:$D$105=""Covariance"")"),-0.000000406381069945254)</f>
        <v>-4.06381069945254E-007</v>
      </c>
      <c r="BT9" s="50" t="n">
        <f aca="false">IFERROR(__xludf.dummyfunction("FILTER(FILTER('Data Scenarios 5-6'!$A$2:$CE$105,'Data Scenarios 5-6'!$A$1:$CE$1=""P_LAPTOP_5_OUTPUT""),'Data Scenarios 5-6'!$B$2:$B$105=$A9,'Data Scenarios 5-6'!$C$2:$C$105=""All"",'Data Scenarios 5-6'!$D$2:$D$105=""Standard Deviation"")"),0.00329980206652229)</f>
        <v>0.00329980206652229</v>
      </c>
      <c r="BU9" s="51" t="n">
        <f aca="false">ABS(I9)*SQRT((BQ9/F9)^2+(BR9/G9)^2+2*BS9/(F9*G9))</f>
        <v>0.00377336217017712</v>
      </c>
      <c r="BV9" s="47" t="n">
        <f aca="false">IFERROR(__xludf.dummyfunction("FILTER(FILTER('Data Scenarios 5-6'!$A$2:$CE$105,'Data Scenarios 5-6'!$A$1:$CE$1=""V_LAPTOP_6_OUTPUT""),'Data Scenarios 5-6'!$B$2:$B$105=$A9,'Data Scenarios 5-6'!$C$2:$C$105=""All"",'Data Scenarios 5-6'!$D$2:$D$105=""Standard Deviation"")"),0.00148448875628027)</f>
        <v>0.00148448875628027</v>
      </c>
      <c r="BW9" s="48" t="n">
        <f aca="false">IFERROR(__xludf.dummyfunction("FILTER(FILTER('Data Scenarios 5-6'!$A$2:$CE$105,'Data Scenarios 5-6'!$A$1:$CE$1=""I_LAPTOP_6_OUTPUT""),'Data Scenarios 5-6'!$B$2:$B$105=$A9,'Data Scenarios 5-6'!$C$2:$C$105=""All"",'Data Scenarios 5-6'!$D$2:$D$105=""Standard Deviation"")"),0.000294607294368295)</f>
        <v>0.000294607294368295</v>
      </c>
      <c r="BX9" s="81" t="n">
        <f aca="false">IFERROR(__xludf.dummyfunction("FILTER(FILTER('Data Scenarios 5-6'!$A$2:$CE$105,'Data Scenarios 5-6'!$A$1:$CE$1=""V_LAPTOP_6_OUTPUT * I_LAPTOP_6_OUTPUT""),'Data Scenarios 5-6'!$B$2:$B$105=$A9,'Data Scenarios 5-6'!$C$2:$C$105=""All"",'Data Scenarios 5-6'!$D$2:$D$105=""Covariance"")"),-0.00000000413455278362657)</f>
        <v>-4.13455278362657E-009</v>
      </c>
      <c r="BY9" s="50" t="n">
        <f aca="false">IFERROR(__xludf.dummyfunction("FILTER(FILTER('Data Scenarios 5-6'!$A$2:$CE$105,'Data Scenarios 5-6'!$A$1:$CE$1=""P_LAPTOP_6_OUTPUT""),'Data Scenarios 5-6'!$B$2:$B$105=$A9,'Data Scenarios 5-6'!$C$2:$C$105=""All"",'Data Scenarios 5-6'!$D$2:$D$105=""Standard Deviation"")"),0.00596279477896256)</f>
        <v>0.00596279477896256</v>
      </c>
      <c r="BZ9" s="51" t="n">
        <f aca="false">ABS(M9)*SQRT((BV9/J9)^2+(BW9/K9)^2+2*BX9/(J9*K9))</f>
        <v>0.00554727451137441</v>
      </c>
      <c r="CA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B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C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D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E9" s="73" t="n">
        <f aca="false">ABS(Q9)*SQRT((CA9/N9)^2+(CB9/O9)^2+2*CC9/(N9*O9))</f>
        <v>0.535947189575655</v>
      </c>
      <c r="CF9" s="47" t="n">
        <f aca="false">IFERROR(__xludf.dummyfunction("FILTER(FILTER('Data Scenarios 5-6'!$A$2:$CE$105,'Data Scenarios 5-6'!$A$1:$CE$1=""V_LED_2""),'Data Scenarios 5-6'!$B$2:$B$105=$A9,'Data Scenarios 5-6'!$C$2:$C$105=""All"",'Data Scenarios 5-6'!$D$2:$D$105=""Standard Deviation"")"),0.00153221343463032)</f>
        <v>0.00153221343463032</v>
      </c>
      <c r="CG9" s="38" t="n">
        <f aca="false">IFERROR(__xludf.dummyfunction("FILTER(FILTER('Data Scenarios 5-6'!$A$2:$CE$105,'Data Scenarios 5-6'!$A$1:$CE$1=""I_LED_2""),'Data Scenarios 5-6'!$B$2:$B$105=$A9,'Data Scenarios 5-6'!$C$2:$C$105=""All"",'Data Scenarios 5-6'!$D$2:$D$105=""Standard Deviation"")"),0.0128668356189172)</f>
        <v>0.0128668356189172</v>
      </c>
      <c r="CH9" s="70" t="n">
        <f aca="false">IFERROR(__xludf.dummyfunction("FILTER(FILTER('Data Scenarios 5-6'!$A$2:$CE$105,'Data Scenarios 5-6'!$A$1:$CE$1=""V_LED_2 * I_LED_2""),'Data Scenarios 5-6'!$B$2:$B$105=$A9,'Data Scenarios 5-6'!$C$2:$C$105=""All"",'Data Scenarios 5-6'!$D$2:$D$105=""Covariance"")"),-0.0000348561018599044)</f>
        <v>-3.48561018599044E-005</v>
      </c>
      <c r="CI9" s="65" t="n">
        <f aca="false">IFERROR(__xludf.dummyfunction("FILTER(FILTER('Data Scenarios 5-6'!$A$2:$CE$105,'Data Scenarios 5-6'!$A$1:$CE$1=""P_LED_2""),'Data Scenarios 5-6'!$B$2:$B$105=$A9,'Data Scenarios 5-6'!$C$2:$C$105=""All"",'Data Scenarios 5-6'!$D$2:$D$105=""Standard Deviation"")"),0.311989706847798)</f>
        <v>0.311989706847798</v>
      </c>
      <c r="CJ9" s="73" t="n">
        <f aca="false">ABS(U9)*SQRT((CF9/R9)^2+(CG9/S9)^2+2*CH9/(R9*S9))</f>
        <v>0.310510186592586</v>
      </c>
      <c r="CK9" s="47" t="n">
        <f aca="false">IFERROR(__xludf.dummyfunction("FILTER(FILTER('Data Scenarios 5-6'!$A$2:$CE$105,'Data Scenarios 5-6'!$A$1:$CE$1=""V_LED_1""),'Data Scenarios 5-6'!$B$2:$B$105=$A9,'Data Scenarios 5-6'!$C$2:$C$105=""All"",'Data Scenarios 5-6'!$D$2:$D$105=""Standard Deviation"")"),0.00144124735070956)</f>
        <v>0.00144124735070956</v>
      </c>
      <c r="CL9" s="38" t="n">
        <f aca="false">IFERROR(__xludf.dummyfunction("FILTER(FILTER('Data Scenarios 5-6'!$A$2:$CE$105,'Data Scenarios 5-6'!$A$1:$CE$1=""I_LED_1""),'Data Scenarios 5-6'!$B$2:$B$105=$A9,'Data Scenarios 5-6'!$C$2:$C$105=""All"",'Data Scenarios 5-6'!$D$2:$D$105=""Standard Deviation"")"),0.022117115950417)</f>
        <v>0.022117115950417</v>
      </c>
      <c r="CM9" s="70" t="n">
        <f aca="false">IFERROR(__xludf.dummyfunction("FILTER(FILTER('Data Scenarios 5-6'!$A$2:$CE$105,'Data Scenarios 5-6'!$A$1:$CE$1=""V_LED_1 * I_LED_1""),'Data Scenarios 5-6'!$B$2:$B$105=$A9,'Data Scenarios 5-6'!$C$2:$C$105=""All"",'Data Scenarios 5-6'!$D$2:$D$105=""Covariance"")"),-0.0000115082882517638)</f>
        <v>-1.15082882517638E-005</v>
      </c>
      <c r="CN9" s="65" t="n">
        <f aca="false">IFERROR(__xludf.dummyfunction("FILTER(FILTER('Data Scenarios 5-6'!$A$2:$CE$105,'Data Scenarios 5-6'!$A$1:$CE$1=""P_LED_1""),'Data Scenarios 5-6'!$B$2:$B$105=$A9,'Data Scenarios 5-6'!$C$2:$C$105=""All"",'Data Scenarios 5-6'!$D$2:$D$105=""Standard Deviation"")"),0.534861280078882)</f>
        <v>0.534861280078882</v>
      </c>
      <c r="CO9" s="73" t="n">
        <f aca="false">ABS(Y9)*SQRT((CK9/V9)^2+(CL9/W9)^2+2*CM9/(V9*W9))</f>
        <v>0.538949166210947</v>
      </c>
      <c r="CP9" s="50" t="n">
        <f aca="false">IFERROR(__xludf.dummyfunction("FILTER(FILTER('Data Scenarios 5-6'!$A$2:$CE$105,'Data Scenarios 5-6'!$A$1:$CE$1=""V_RESISTOR_1A""),'Data Scenarios 5-6'!$B$2:$B$105=$A9,'Data Scenarios 5-6'!$C$2:$C$105=""All"",'Data Scenarios 5-6'!$D$2:$D$105=""Standard Deviation"")"),0.0019351743440048)</f>
        <v>0.0019351743440048</v>
      </c>
      <c r="CQ9" s="40" t="n">
        <v>0.045</v>
      </c>
      <c r="CR9" s="38" t="n">
        <f aca="false">IFERROR(__xludf.dummyfunction("FILTER(FILTER('Data Scenarios 5-6'!$A$2:$CE$105,'Data Scenarios 5-6'!$A$1:$CE$1=""P_RESISTOR_1A""),'Data Scenarios 5-6'!$B$2:$B$105=$A9,'Data Scenarios 5-6'!$C$2:$C$105=""All"",'Data Scenarios 5-6'!$D$2:$D$105=""Standard Deviation"")"),0.0136244269023846)</f>
        <v>0.0136244269023846</v>
      </c>
      <c r="CS9" s="73" t="n">
        <f aca="false">SQRT(CP9^2*(2*Z9/AA9)^2+CQ9^2*(Z9^2/AA9^2)^2)</f>
        <v>0.558289915264946</v>
      </c>
      <c r="CT9" s="147" t="n">
        <f aca="false">IFERROR(__xludf.dummyfunction("FILTER(FILTER('Data Scenarios 5-6'!$A$2:$CE$105,'Data Scenarios 5-6'!$A$1:$CE$1=""V_RESISTOR_1B""),'Data Scenarios 5-6'!$B$2:$B$105=$A9,'Data Scenarios 5-6'!$C$2:$C$105=""All"",'Data Scenarios 5-6'!$D$2:$D$105=""Standard Deviation"")"),0.0000187022036001486)</f>
        <v>1.87022036001486E-005</v>
      </c>
      <c r="CU9" s="40"/>
      <c r="CV9" s="41" t="n">
        <f aca="false">IFERROR(__xludf.dummyfunction("FILTER(FILTER('Data Scenarios 5-6'!$A$2:$CE$105,'Data Scenarios 5-6'!$A$1:$CE$1=""P_RESISTOR_1B""),'Data Scenarios 5-6'!$B$2:$B$105=$A9,'Data Scenarios 5-6'!$C$2:$C$105=""All"",'Data Scenarios 5-6'!$D$2:$D$105=""Standard Deviation"")"),3.24186853096799E-028)</f>
        <v>3.24186853096799E-028</v>
      </c>
      <c r="CW9" s="150" t="n">
        <v>0</v>
      </c>
      <c r="CX9" s="147" t="n">
        <f aca="false">IFERROR(__xludf.dummyfunction("FILTER(FILTER('Data Scenarios 5-6'!$A$2:$CE$105,'Data Scenarios 5-6'!$A$1:$CE$1=""V_RESISTOR_1C""),'Data Scenarios 5-6'!$B$2:$B$105=$A9,'Data Scenarios 5-6'!$C$2:$C$105=""All"",'Data Scenarios 5-6'!$D$2:$D$105=""Standard Deviation"")"),0.00000901107174956638)</f>
        <v>9.01107174956638E-006</v>
      </c>
      <c r="CY9" s="40"/>
      <c r="CZ9" s="41" t="n">
        <f aca="false">IFERROR(__xludf.dummyfunction("FILTER(FILTER('Data Scenarios 5-6'!$A$2:$CE$105,'Data Scenarios 5-6'!$A$1:$CE$1=""P_RESISTOR_1C""),'Data Scenarios 5-6'!$B$2:$B$105=$A9,'Data Scenarios 5-6'!$C$2:$C$105=""All"",'Data Scenarios 5-6'!$D$2:$D$105=""Standard Deviation"")"),3.54503410968533E-029)</f>
        <v>3.54503410968533E-029</v>
      </c>
      <c r="DA9" s="150" t="n">
        <v>0</v>
      </c>
      <c r="DB9" s="147" t="n">
        <f aca="false">IFERROR(__xludf.dummyfunction("FILTER(FILTER('Data Scenarios 5-6'!$A$2:$CE$105,'Data Scenarios 5-6'!$A$1:$CE$1=""V_RESISTOR_1D""),'Data Scenarios 5-6'!$B$2:$B$105=$A9,'Data Scenarios 5-6'!$C$2:$C$105=""All"",'Data Scenarios 5-6'!$D$2:$D$105=""Standard Deviation"")"),0.00000393572580459836)</f>
        <v>3.93572580459836E-006</v>
      </c>
      <c r="DC9" s="40"/>
      <c r="DD9" s="41" t="n">
        <f aca="false">IFERROR(__xludf.dummyfunction("FILTER(FILTER('Data Scenarios 5-6'!$A$2:$CE$105,'Data Scenarios 5-6'!$A$1:$CE$1=""P_RESISTOR_1D""),'Data Scenarios 5-6'!$B$2:$B$105=$A9,'Data Scenarios 5-6'!$C$2:$C$105=""All"",'Data Scenarios 5-6'!$D$2:$D$105=""Standard Deviation"")"),6.88767209469504E-030)</f>
        <v>6.88767209469504E-030</v>
      </c>
      <c r="DE9" s="150" t="n">
        <v>0</v>
      </c>
      <c r="DF9" s="147" t="n">
        <f aca="false">IFERROR(__xludf.dummyfunction("FILTER(FILTER('Data Scenarios 5-6'!$A$2:$CE$105,'Data Scenarios 5-6'!$A$1:$CE$1=""V_RESISTOR_1E""),'Data Scenarios 5-6'!$B$2:$B$105=$A9,'Data Scenarios 5-6'!$C$2:$C$105=""All"",'Data Scenarios 5-6'!$D$2:$D$105=""Standard Deviation"")"),0.00000729638373178193)</f>
        <v>7.29638373178193E-006</v>
      </c>
      <c r="DG9" s="40"/>
      <c r="DH9" s="41" t="n">
        <f aca="false">IFERROR(__xludf.dummyfunction("FILTER(FILTER('Data Scenarios 5-6'!$A$2:$CE$105,'Data Scenarios 5-6'!$A$1:$CE$1=""P_RESISTOR_1E""),'Data Scenarios 5-6'!$B$2:$B$105=$A9,'Data Scenarios 5-6'!$C$2:$C$105=""All"",'Data Scenarios 5-6'!$D$2:$D$105=""Standard Deviation"")"),1.50708378685845E-029)</f>
        <v>1.50708378685845E-029</v>
      </c>
      <c r="DI9" s="150" t="n">
        <v>0</v>
      </c>
      <c r="DJ9" s="147" t="n">
        <f aca="false">IFERROR(__xludf.dummyfunction("FILTER(FILTER('Data Scenarios 5-6'!$A$2:$CE$105,'Data Scenarios 5-6'!$A$1:$CE$1=""V_RESISTOR_1F""),'Data Scenarios 5-6'!$B$2:$B$105=$A9,'Data Scenarios 5-6'!$C$2:$C$105=""All"",'Data Scenarios 5-6'!$D$2:$D$105=""Standard Deviation"")"),0.00000228594944963206)</f>
        <v>2.28594944963206E-006</v>
      </c>
      <c r="DK9" s="40"/>
      <c r="DL9" s="41" t="n">
        <f aca="false">IFERROR(__xludf.dummyfunction("FILTER(FILTER('Data Scenarios 5-6'!$A$2:$CE$105,'Data Scenarios 5-6'!$A$1:$CE$1=""P_RESISTOR_1F""),'Data Scenarios 5-6'!$B$2:$B$105=$A9,'Data Scenarios 5-6'!$C$2:$C$105=""All"",'Data Scenarios 5-6'!$D$2:$D$105=""Standard Deviation"")"),5.00431327026666E-030)</f>
        <v>5.00431327026666E-030</v>
      </c>
      <c r="DM9" s="150" t="n">
        <v>0</v>
      </c>
      <c r="DN9" s="147" t="n">
        <f aca="false">IFERROR(__xludf.dummyfunction("FILTER(FILTER('Data Scenarios 5-6'!$A$2:$CE$105,'Data Scenarios 5-6'!$A$1:$CE$1=""V_RESISTOR_1G""),'Data Scenarios 5-6'!$B$2:$B$105=$A9,'Data Scenarios 5-6'!$C$2:$C$105=""All"",'Data Scenarios 5-6'!$D$2:$D$105=""Standard Deviation"")"),0.0000118829586351232)</f>
        <v>1.18829586351232E-005</v>
      </c>
      <c r="DO9" s="40"/>
      <c r="DP9" s="41" t="n">
        <f aca="false">IFERROR(__xludf.dummyfunction("FILTER(FILTER('Data Scenarios 5-6'!$A$2:$CE$105,'Data Scenarios 5-6'!$A$1:$CE$1=""P_RESISTOR_1G""),'Data Scenarios 5-6'!$B$2:$B$105=$A9,'Data Scenarios 5-6'!$C$2:$C$105=""All"",'Data Scenarios 5-6'!$D$2:$D$105=""Standard Deviation"")"),2.65170633948429E-028)</f>
        <v>2.65170633948429E-028</v>
      </c>
      <c r="DQ9" s="150" t="n">
        <v>0</v>
      </c>
      <c r="DR9" s="57" t="n">
        <f aca="false">IFERROR(__xludf.dummyfunction("FILTER(FILTER('Data Scenarios 5-6'!$A$2:$CE$105,'Data Scenarios 5-6'!$A$1:$CE$1=""P_In""),'Data Scenarios 5-6'!$B$2:$B$105=$A9,'Data Scenarios 5-6'!$C$2:$C$105=""All"",'Data Scenarios 5-6'!$D$2:$D$105=""Standard Deviation"")"),1.55312169940144)</f>
        <v>1.55312169940144</v>
      </c>
      <c r="DS9" s="44" t="n">
        <f aca="false">IFERROR(__xludf.dummyfunction("FILTER(FILTER('Data Scenarios 5-6'!$A$2:$CE$105,'Data Scenarios 5-6'!$A$1:$CE$1=""P_Secondary""),'Data Scenarios 5-6'!$B$2:$B$105=$A9,'Data Scenarios 5-6'!$C$2:$C$105=""All"",'Data Scenarios 5-6'!$D$2:$D$105=""Standard Deviation"")"),1.48557016262189)</f>
        <v>1.48557016262189</v>
      </c>
      <c r="DT9" s="45" t="n">
        <f aca="false">IFERROR(__xludf.dummyfunction("FILTER(FILTER('Data Scenarios 5-6'!$A$2:$CE$105,'Data Scenarios 5-6'!$A$1:$CE$1=""P_Out""),'Data Scenarios 5-6'!$B$2:$B$105=$A9,'Data Scenarios 5-6'!$C$2:$C$105=""All"",'Data Scenarios 5-6'!$D$2:$D$105=""Standard Deviation"")"),1.56789051421395)</f>
        <v>1.56789051421395</v>
      </c>
      <c r="DU9" s="62" t="n">
        <f aca="false">SQRT(BO9^2+BT9^2+BY9^2+CD9^2+CI9^2+CN9^2+CS9^2+CW9^2+DA9^2+DE9^2+DI9^2+DM9^2+DQ9^2)</f>
        <v>0.990588602277809</v>
      </c>
      <c r="DV9" s="59" t="n">
        <f aca="false">IFERROR(__xludf.dummyfunction("FILTER(FILTER('Data Scenarios 5-6'!$A$2:$CE$105,'Data Scenarios 5-6'!$A$1:$CE$1=""P_TransformerLoss""),'Data Scenarios 5-6'!$B$2:$B$105=$A9,'Data Scenarios 5-6'!$C$2:$C$105=""All"",'Data Scenarios 5-6'!$D$2:$D$105=""Standard Deviation"")"),0.0733759863652628)</f>
        <v>0.0733759863652628</v>
      </c>
      <c r="DW9" s="75" t="n">
        <f aca="false">SQRT(DR9^2+DS9^2)</f>
        <v>2.14921048788248</v>
      </c>
      <c r="DX9" s="38" t="n">
        <f aca="false">IFERROR(__xludf.dummyfunction("FILTER(FILTER('Data Scenarios 5-6'!$A$2:$CE$105,'Data Scenarios 5-6'!$A$1:$CE$1=""P_ConverterLoss""),'Data Scenarios 5-6'!$B$2:$B$105=$A9,'Data Scenarios 5-6'!$C$2:$C$105=""All"",'Data Scenarios 5-6'!$D$2:$D$105=""Standard Deviation"")"),0.0910040412003204)</f>
        <v>0.0910040412003204</v>
      </c>
      <c r="DY9" s="75" t="n">
        <f aca="false">SQRT(DS9^2+MAX(DT9:DU9)^2)</f>
        <v>2.15990726019302</v>
      </c>
      <c r="DZ9" s="38" t="n">
        <f aca="false">IFERROR(__xludf.dummyfunction("FILTER(FILTER('Data Scenarios 5-6'!$A$2:$CE$105,'Data Scenarios 5-6'!$A$1:$CE$1=""P_SystemLoss""),'Data Scenarios 5-6'!$B$2:$B$105=$A9,'Data Scenarios 5-6'!$C$2:$C$105=""All"",'Data Scenarios 5-6'!$D$2:$D$105=""Standard Deviation"")"),0.070657528006189)</f>
        <v>0.070657528006189</v>
      </c>
      <c r="EA9" s="75" t="n">
        <f aca="false">SQRT(DR9^2+MAX(DT9:DU9)^2)</f>
        <v>2.20691360902816</v>
      </c>
      <c r="EB9" s="155" t="n">
        <v>281.547924988627</v>
      </c>
      <c r="EC9" s="156" t="n">
        <v>231.210460877855</v>
      </c>
      <c r="ED9" s="156" t="n">
        <v>50.3374641107728</v>
      </c>
      <c r="EE9" s="156" t="n">
        <v>35.1494608778546</v>
      </c>
      <c r="EF9" s="156" t="n">
        <v>85.4869249886274</v>
      </c>
      <c r="EG9" s="45" t="n">
        <f aca="false">EB9-BB9</f>
        <v>-8.93419000026097</v>
      </c>
      <c r="EH9" s="65" t="n">
        <f aca="false">TINV(0.1,2)*DR9/SQRT(3)</f>
        <v>2.61833714517427</v>
      </c>
      <c r="EI9" s="66" t="n">
        <f aca="false">EG9/BB9</f>
        <v>-0.0307564202381366</v>
      </c>
      <c r="EJ9" s="67" t="n">
        <f aca="false">EH9/BB9</f>
        <v>0.00901376370546747</v>
      </c>
      <c r="EK9" s="45" t="n">
        <f aca="false">EC9-BC9</f>
        <v>-5.39019023325599</v>
      </c>
      <c r="EL9" s="65" t="n">
        <f aca="false">TINV(0.1,2)*DS9/SQRT(3)</f>
        <v>2.50445508555739</v>
      </c>
      <c r="EM9" s="66" t="n">
        <f aca="false">EK9/BC9</f>
        <v>-0.0227818064233673</v>
      </c>
      <c r="EN9" s="67" t="n">
        <f aca="false">EL9/BC9</f>
        <v>0.0105851571996785</v>
      </c>
      <c r="EO9" s="45" t="n">
        <f aca="false">ED9-BF9</f>
        <v>-3.5439997670049</v>
      </c>
      <c r="EP9" s="65" t="n">
        <f aca="false">TINV(0.1,2)*DV9/SQRT(3)</f>
        <v>0.123701233932931</v>
      </c>
      <c r="EQ9" s="66" t="n">
        <f aca="false">EO9/BF9</f>
        <v>-0.065774006716743</v>
      </c>
      <c r="ER9" s="66" t="n">
        <f aca="false">EP9/BF9</f>
        <v>0.00229580313952733</v>
      </c>
      <c r="ES9" s="45" t="n">
        <f aca="false">EE9-BH9</f>
        <v>-5.3904315256625</v>
      </c>
      <c r="ET9" s="65" t="n">
        <f aca="false">TINV(0.1,2)*MAX(DX9,DY9)/SQRT(3)</f>
        <v>3.64128928961233</v>
      </c>
      <c r="EU9" s="66" t="n">
        <f aca="false">ES9/BH9</f>
        <v>-0.132966103412619</v>
      </c>
      <c r="EV9" s="67" t="n">
        <f aca="false">ET9/BH9</f>
        <v>0.0898199051287177</v>
      </c>
      <c r="EW9" s="45" t="n">
        <f aca="false">EF9-BJ9</f>
        <v>-8.93443129266741</v>
      </c>
      <c r="EX9" s="65" t="n">
        <f aca="false">TINV(0.1,2)*MAX(DZ9,EA9)/SQRT(3)</f>
        <v>3.72053515248419</v>
      </c>
      <c r="EY9" s="66" t="n">
        <f aca="false">EW9/BJ9</f>
        <v>-0.0946229925574301</v>
      </c>
      <c r="EZ9" s="66" t="n">
        <f aca="false">EX9/BJ9</f>
        <v>0.039403534316963</v>
      </c>
    </row>
    <row r="10" customFormat="false" ht="12.75" hidden="false" customHeight="false" outlineLevel="0" collapsed="false">
      <c r="A10" s="37" t="n">
        <v>6.3</v>
      </c>
      <c r="B10" s="38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5-6'!$D$2:$D$105=""Mean"")"),18.3553527444444)</f>
        <v>18.3553527444444</v>
      </c>
      <c r="C10" s="3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5-6'!$D$2:$D$105=""Mean"")"),2.28724290909275)</f>
        <v>2.28724290909275</v>
      </c>
      <c r="D10" s="65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5-6'!$D$2:$D$105=""Mean"")"),41.983151379056)</f>
        <v>41.983151379056</v>
      </c>
      <c r="E10" s="68" t="n">
        <f aca="false">B10*C10</f>
        <v>41.9831504086266</v>
      </c>
      <c r="F10" s="38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5-6'!$D$2:$D$105=""Mean"")"),18.1771163472222)</f>
        <v>18.1771163472222</v>
      </c>
      <c r="G10" s="3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5-6'!$D$2:$D$105=""Mean"")"),2.22570255671173)</f>
        <v>2.22570255671173</v>
      </c>
      <c r="H10" s="65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5-6'!$D$2:$D$105=""Mean"")"),40.456854739548)</f>
        <v>40.456854739548</v>
      </c>
      <c r="I10" s="68" t="n">
        <f aca="false">F10*G10</f>
        <v>40.456854327659</v>
      </c>
      <c r="J10" s="38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5-6'!$D$2:$D$105=""Mean"")"),18.4669192777777)</f>
        <v>18.4669192777777</v>
      </c>
      <c r="K10" s="38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5-6'!$D$2:$D$105=""Mean"")"),2.25501081567593)</f>
        <v>2.25501081567593</v>
      </c>
      <c r="L10" s="65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5-6'!$D$2:$D$105=""Mean"")"),41.6430753411198)</f>
        <v>41.6430753411198</v>
      </c>
      <c r="M10" s="68" t="n">
        <f aca="false">J10*K10</f>
        <v>41.643102703603</v>
      </c>
      <c r="N10" s="38" t="n">
        <f aca="false">IFERROR(__xludf.dummyfunction("FILTER(FILTER('Data Scenarios 5-6'!$A$2:$CE$105,'Data Scenarios 5-6'!$A$1:$CE$1=""V_LED_1""),'Data Scenarios 5-6'!$B$2:$B$105=$A10,'Data Scenarios 5-6'!$C$2:$C$105=""All"",'Data Scenarios 5-6'!$D$2:$D$105=""Mean"")"),24.0867347499999)</f>
        <v>24.0867347499999</v>
      </c>
      <c r="O10" s="38" t="n">
        <f aca="false">IFERROR(__xludf.dummyfunction("FILTER(FILTER('Data Scenarios 5-6'!$A$2:$CE$105,'Data Scenarios 5-6'!$A$1:$CE$1=""I_LED_1""),'Data Scenarios 5-6'!$B$2:$B$105=$A10,'Data Scenarios 5-6'!$C$2:$C$105=""All"",'Data Scenarios 5-6'!$D$2:$D$105=""Mean"")"),1.24631560833333)</f>
        <v>1.24631560833333</v>
      </c>
      <c r="P10" s="65" t="n">
        <f aca="false">IFERROR(__xludf.dummyfunction("FILTER(FILTER('Data Scenarios 5-6'!$A$2:$CE$105,'Data Scenarios 5-6'!$A$1:$CE$1=""P_LED_1""),'Data Scenarios 5-6'!$B$2:$B$105=$A10,'Data Scenarios 5-6'!$C$2:$C$105=""All"",'Data Scenarios 5-6'!$D$2:$D$105=""Mean"")"),30.0200651944444)</f>
        <v>30.0200651944444</v>
      </c>
      <c r="Q10" s="68" t="n">
        <f aca="false">N10*O10</f>
        <v>30.0196734727097</v>
      </c>
      <c r="R10" s="38" t="n">
        <f aca="false">IFERROR(__xludf.dummyfunction("FILTER(FILTER('Data Scenarios 5-6'!$A$2:$CE$105,'Data Scenarios 5-6'!$A$1:$CE$1=""V_LED_2""),'Data Scenarios 5-6'!$B$2:$B$105=$A10,'Data Scenarios 5-6'!$C$2:$C$105=""All"",'Data Scenarios 5-6'!$D$2:$D$105=""Mean"")"),24.3091072777777)</f>
        <v>24.3091072777777</v>
      </c>
      <c r="S10" s="38" t="n">
        <f aca="false">IFERROR(__xludf.dummyfunction("FILTER(FILTER('Data Scenarios 5-6'!$A$2:$CE$105,'Data Scenarios 5-6'!$A$1:$CE$1=""I_LED_2""),'Data Scenarios 5-6'!$B$2:$B$105=$A10,'Data Scenarios 5-6'!$C$2:$C$105=""All"",'Data Scenarios 5-6'!$D$2:$D$105=""Mean"")"),1.25558823055555)</f>
        <v>1.25558823055555</v>
      </c>
      <c r="T10" s="65" t="n">
        <f aca="false">IFERROR(__xludf.dummyfunction("FILTER(FILTER('Data Scenarios 5-6'!$A$2:$CE$105,'Data Scenarios 5-6'!$A$1:$CE$1=""P_LED_2""),'Data Scenarios 5-6'!$B$2:$B$105=$A10,'Data Scenarios 5-6'!$C$2:$C$105=""All"",'Data Scenarios 5-6'!$D$2:$D$105=""Mean"")"),30.5221061666666)</f>
        <v>30.5221061666666</v>
      </c>
      <c r="U10" s="68" t="n">
        <f aca="false">R10*S10</f>
        <v>30.5222289932899</v>
      </c>
      <c r="V10" s="38" t="n">
        <f aca="false">IFERROR(__xludf.dummyfunction("FILTER(FILTER('Data Scenarios 5-6'!$A$2:$CE$105,'Data Scenarios 5-6'!$A$1:$CE$1=""V_LED_3""),'Data Scenarios 5-6'!$B$2:$B$105=$A10,'Data Scenarios 5-6'!$C$2:$C$105=""All"",'Data Scenarios 5-6'!$D$2:$D$105=""Mean"")"),24.3108290277777)</f>
        <v>24.3108290277777</v>
      </c>
      <c r="W10" s="38" t="n">
        <f aca="false">IFERROR(__xludf.dummyfunction("FILTER(FILTER('Data Scenarios 5-6'!$A$2:$CE$105,'Data Scenarios 5-6'!$A$1:$CE$1=""I_LED_3""),'Data Scenarios 5-6'!$B$2:$B$105=$A10,'Data Scenarios 5-6'!$C$2:$C$105=""All"",'Data Scenarios 5-6'!$D$2:$D$105=""Mean"")"),1.27102283333333)</f>
        <v>1.27102283333333</v>
      </c>
      <c r="X10" s="65" t="n">
        <f aca="false">IFERROR(__xludf.dummyfunction("FILTER(FILTER('Data Scenarios 5-6'!$A$2:$CE$105,'Data Scenarios 5-6'!$A$1:$CE$1=""P_LED_3""),'Data Scenarios 5-6'!$B$2:$B$105=$A10,'Data Scenarios 5-6'!$C$2:$C$105=""All"",'Data Scenarios 5-6'!$D$2:$D$105=""Mean"")"),30.8995021666666)</f>
        <v>30.8995021666666</v>
      </c>
      <c r="Y10" s="68" t="n">
        <f aca="false">V10*W10</f>
        <v>30.8996187915682</v>
      </c>
      <c r="Z10" s="38" t="n">
        <f aca="false">IFERROR(__xludf.dummyfunction("FILTER(FILTER('Data Scenarios 5-6'!$A$2:$CE$105,'Data Scenarios 5-6'!$A$1:$CE$1=""V_RESISTOR_1A""),'Data Scenarios 5-6'!$B$2:$B$105=$A10,'Data Scenarios 5-6'!$C$2:$C$105=""All"",'Data Scenarios 5-6'!$D$2:$D$105=""Mean"")"),24.2452528027777)</f>
        <v>24.2452528027777</v>
      </c>
      <c r="AA10" s="40" t="n">
        <v>6.907</v>
      </c>
      <c r="AB10" s="41" t="n">
        <f aca="false">IFERROR(__xludf.dummyfunction("FILTER(FILTER('Data Scenarios 5-6'!$A$2:$CE$105,'Data Scenarios 5-6'!$A$1:$CE$1=""P_RESISTOR_1A""),'Data Scenarios 5-6'!$B$2:$B$105=$A10,'Data Scenarios 5-6'!$C$2:$C$105=""All"",'Data Scenarios 5-6'!$D$2:$D$105=""Mean"")"),85.0697950118741)</f>
        <v>85.0697950118741</v>
      </c>
      <c r="AC10" s="39" t="n">
        <f aca="false">Z10^2/AA10</f>
        <v>85.106744385493</v>
      </c>
      <c r="AD10" s="38" t="n">
        <f aca="false">IFERROR(__xludf.dummyfunction("FILTER(FILTER('Data Scenarios 5-6'!$A$2:$CE$105,'Data Scenarios 5-6'!$A$1:$CE$1=""V_RESISTOR_1B""),'Data Scenarios 5-6'!$B$2:$B$105=$A10,'Data Scenarios 5-6'!$C$2:$C$105=""All"",'Data Scenarios 5-6'!$D$2:$D$105=""Mean"")"),24.2595838638888)</f>
        <v>24.2595838638888</v>
      </c>
      <c r="AE10" s="40" t="n">
        <v>6.93</v>
      </c>
      <c r="AF10" s="41" t="n">
        <f aca="false">IFERROR(__xludf.dummyfunction("FILTER(FILTER('Data Scenarios 5-6'!$A$2:$CE$105,'Data Scenarios 5-6'!$A$1:$CE$1=""P_RESISTOR_1B""),'Data Scenarios 5-6'!$B$2:$B$105=$A10,'Data Scenarios 5-6'!$C$2:$C$105=""All"",'Data Scenarios 5-6'!$D$2:$D$105=""Mean"")"),84.9245900843935)</f>
        <v>84.9245900843935</v>
      </c>
      <c r="AG10" s="39" t="n">
        <f aca="false">AD10^2/AE10</f>
        <v>84.9245900792286</v>
      </c>
      <c r="AH10" s="38" t="n">
        <f aca="false">IFERROR(__xludf.dummyfunction("FILTER(FILTER('Data Scenarios 5-6'!$A$2:$CE$105,'Data Scenarios 5-6'!$A$1:$CE$1=""V_RESISTOR_1C""),'Data Scenarios 5-6'!$B$2:$B$105=$A10,'Data Scenarios 5-6'!$C$2:$C$105=""All"",'Data Scenarios 5-6'!$D$2:$D$105=""Mean"")"),24.2785672944444)</f>
        <v>24.2785672944444</v>
      </c>
      <c r="AI10" s="40" t="n">
        <v>6.881</v>
      </c>
      <c r="AJ10" s="41" t="n">
        <f aca="false">IFERROR(__xludf.dummyfunction("FILTER(FILTER('Data Scenarios 5-6'!$A$2:$CE$105,'Data Scenarios 5-6'!$A$1:$CE$1=""P_RESISTOR_1C""),'Data Scenarios 5-6'!$B$2:$B$105=$A10,'Data Scenarios 5-6'!$C$2:$C$105=""All"",'Data Scenarios 5-6'!$D$2:$D$105=""Mean"")"),85.6757020205694)</f>
        <v>85.6757020205694</v>
      </c>
      <c r="AK10" s="39" t="n">
        <f aca="false">AH10^2/AI10</f>
        <v>85.6632509621952</v>
      </c>
      <c r="AL10" s="38" t="n">
        <f aca="false">IFERROR(__xludf.dummyfunction("FILTER(FILTER('Data Scenarios 5-6'!$A$2:$CE$105,'Data Scenarios 5-6'!$A$1:$CE$1=""V_RESISTOR_1D""),'Data Scenarios 5-6'!$B$2:$B$105=$A10,'Data Scenarios 5-6'!$C$2:$C$105=""All"",'Data Scenarios 5-6'!$D$2:$D$105=""Mean"")"),24.2791855861111)</f>
        <v>24.2791855861111</v>
      </c>
      <c r="AM10" s="40" t="n">
        <v>7.199</v>
      </c>
      <c r="AN10" s="41" t="n">
        <f aca="false">IFERROR(__xludf.dummyfunction("FILTER(FILTER('Data Scenarios 5-6'!$A$2:$CE$105,'Data Scenarios 5-6'!$A$1:$CE$1=""P_RESISTOR_1D""),'Data Scenarios 5-6'!$B$2:$B$105=$A10,'Data Scenarios 5-6'!$C$2:$C$105=""All"",'Data Scenarios 5-6'!$D$2:$D$105=""Mean"")"),81.8720629092035)</f>
        <v>81.8720629092035</v>
      </c>
      <c r="AO10" s="39" t="n">
        <f aca="false">AL10^2/AM10</f>
        <v>81.8834355778337</v>
      </c>
      <c r="AP10" s="38" t="n">
        <f aca="false">IFERROR(__xludf.dummyfunction("FILTER(FILTER('Data Scenarios 5-6'!$A$2:$CE$105,'Data Scenarios 5-6'!$A$1:$CE$1=""V_RESISTOR_1E""),'Data Scenarios 5-6'!$B$2:$B$105=$A10,'Data Scenarios 5-6'!$C$2:$C$105=""All"",'Data Scenarios 5-6'!$D$2:$D$105=""Mean"")"),-0.000140603761111111)</f>
        <v>-0.000140603761111111</v>
      </c>
      <c r="AQ10" s="40"/>
      <c r="AR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5-6'!$D$2:$D$105=""Mean"")"),2.29097295247345E-027)</f>
        <v>2.29097295247345E-027</v>
      </c>
      <c r="AS10" s="42" t="n">
        <v>0</v>
      </c>
      <c r="AT10" s="38" t="n">
        <f aca="false">IFERROR(__xludf.dummyfunction("FILTER(FILTER('Data Scenarios 5-6'!$A$2:$CE$105,'Data Scenarios 5-6'!$A$1:$CE$1=""V_RESISTOR_1F""),'Data Scenarios 5-6'!$B$2:$B$105=$A10,'Data Scenarios 5-6'!$C$2:$C$105=""All"",'Data Scenarios 5-6'!$D$2:$D$105=""Mean"")"),-0.000220874505555555)</f>
        <v>-0.000220874505555555</v>
      </c>
      <c r="AU10" s="40"/>
      <c r="AV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5-6'!$D$2:$D$105=""Mean"")"),5.46382237619259E-027)</f>
        <v>5.46382237619259E-027</v>
      </c>
      <c r="AW10" s="42" t="n">
        <v>0</v>
      </c>
      <c r="AX10" s="38" t="n">
        <f aca="false">IFERROR(__xludf.dummyfunction("FILTER(FILTER('Data Scenarios 5-6'!$A$2:$CE$105,'Data Scenarios 5-6'!$A$1:$CE$1=""V_RESISTOR_1G""),'Data Scenarios 5-6'!$B$2:$B$105=$A10,'Data Scenarios 5-6'!$C$2:$C$105=""All"",'Data Scenarios 5-6'!$D$2:$D$105=""Mean"")"),-0.000236871255555555)</f>
        <v>-0.000236871255555555</v>
      </c>
      <c r="AY10" s="40"/>
      <c r="AZ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5-6'!$D$2:$D$105=""Mean"")"),6.25769266835493E-027)</f>
        <v>6.25769266835493E-027</v>
      </c>
      <c r="BA10" s="42" t="n">
        <v>0</v>
      </c>
      <c r="BB10" s="44" t="n">
        <f aca="false">IFERROR(__xludf.dummyfunction("FILTER(FILTER('Data Scenarios 5-6'!$A$2:$CE$105,'Data Scenarios 5-6'!$A$1:$CE$1=""P_In""),'Data Scenarios 5-6'!$B$2:$B$105=$A10,'Data Scenarios 5-6'!$C$2:$C$105=""All"",'Data Scenarios 5-6'!$D$2:$D$105=""Mean"")"),680.671244111111)</f>
        <v>680.671244111111</v>
      </c>
      <c r="BC10" s="44" t="n">
        <f aca="false">IFERROR(__xludf.dummyfunction("FILTER(FILTER('Data Scenarios 5-6'!$A$2:$CE$105,'Data Scenarios 5-6'!$A$1:$CE$1=""P_Secondary""),'Data Scenarios 5-6'!$B$2:$B$105=$A10,'Data Scenarios 5-6'!$C$2:$C$105=""All"",'Data Scenarios 5-6'!$D$2:$D$105=""Mean"")"),619.157639444444)</f>
        <v>619.157639444444</v>
      </c>
      <c r="BD10" s="45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BE10" s="46" t="n">
        <f aca="false">E10+I10+M10+Q10+U10+Y10+AC10+AG10+AK10+AO10+AS10+AW10+BA10</f>
        <v>553.102649702207</v>
      </c>
      <c r="BF10" s="45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5-6'!$D$2:$D$105=""Mean"")"),61.5136046666666)</f>
        <v>61.5136046666666</v>
      </c>
      <c r="BG10" s="46" t="n">
        <f aca="false">BB10-BC10</f>
        <v>61.513604666667</v>
      </c>
      <c r="BH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5-6'!$D$2:$D$105=""Mean"")"),66.090734430902)</f>
        <v>66.090734430902</v>
      </c>
      <c r="BI10" s="46" t="n">
        <f aca="false">BC10-BE10</f>
        <v>66.0549897422371</v>
      </c>
      <c r="BJ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5-6'!$D$2:$D$105=""Mean"")"),127.604339097568)</f>
        <v>127.604339097568</v>
      </c>
      <c r="BK10" s="46" t="n">
        <f aca="false">BB10-BE10</f>
        <v>127.568594408904</v>
      </c>
      <c r="BL10" s="47" t="n">
        <f aca="false">IFERROR(__xludf.dummyfunction("FILTER(FILTER('Data Scenarios 5-6'!$A$2:$CE$105,'Data Scenarios 5-6'!$A$1:$CE$1=""V_LAPTOP_4_OUTPUT""),'Data Scenarios 5-6'!$B$2:$B$105=$A10,'Data Scenarios 5-6'!$C$2:$C$105=""All"",'Data Scenarios 5-6'!$D$2:$D$105=""Standard Deviation"")"),0.00233955814237411)</f>
        <v>0.00233955814237411</v>
      </c>
      <c r="BM10" s="48" t="n">
        <f aca="false">IFERROR(__xludf.dummyfunction("FILTER(FILTER('Data Scenarios 5-6'!$A$2:$CE$105,'Data Scenarios 5-6'!$A$1:$CE$1=""I_LAPTOP_4_OUTPUT""),'Data Scenarios 5-6'!$B$2:$B$105=$A10,'Data Scenarios 5-6'!$C$2:$C$105=""All"",'Data Scenarios 5-6'!$D$2:$D$105=""Standard Deviation"")"),0.000443586475216231)</f>
        <v>0.000443586475216231</v>
      </c>
      <c r="BN10" s="48" t="n">
        <f aca="false">IFERROR(__xludf.dummyfunction("FILTER(FILTER('Data Scenarios 5-6'!$A$2:$CE$105,'Data Scenarios 5-6'!$A$1:$CE$1=""V_LAPTOP_4_OUTPUT * I_LAPTOP_4_OUTPUT""),'Data Scenarios 5-6'!$B$2:$B$105=$A10,'Data Scenarios 5-6'!$C$2:$C$105=""All"",'Data Scenarios 5-6'!$D$2:$D$105=""Covariance"")"),0.000117031977248453)</f>
        <v>0.000117031977248453</v>
      </c>
      <c r="BO10" s="38" t="n">
        <f aca="false">IFERROR(__xludf.dummyfunction("FILTER(FILTER('Data Scenarios 5-6'!$A$2:$CE$105,'Data Scenarios 5-6'!$A$1:$CE$1=""P_LAPTOP_4_OUTPUT""),'Data Scenarios 5-6'!$B$2:$B$105=$A10,'Data Scenarios 5-6'!$C$2:$C$105=""All"",'Data Scenarios 5-6'!$D$2:$D$105=""Standard Deviation"")"),0.0134085993942964)</f>
        <v>0.0134085993942964</v>
      </c>
      <c r="BP10" s="71" t="n">
        <f aca="false">ABS(D10)*SQRT((BL10/A10)^2+(BM10/B10)^2+2*BN10/(A10*B10))</f>
        <v>0.0617393295430938</v>
      </c>
      <c r="BQ10" s="47" t="n">
        <f aca="false">IFERROR(__xludf.dummyfunction("FILTER(FILTER('Data Scenarios 5-6'!$A$2:$CE$105,'Data Scenarios 5-6'!$A$1:$CE$1=""V_LAPTOP_5_OUTPUT""),'Data Scenarios 5-6'!$B$2:$B$105=$A10,'Data Scenarios 5-6'!$C$2:$C$105=""All"",'Data Scenarios 5-6'!$D$2:$D$105=""Standard Deviation"")"),0.00239977077560506)</f>
        <v>0.00239977077560506</v>
      </c>
      <c r="BR10" s="48" t="n">
        <f aca="false">IFERROR(__xludf.dummyfunction("FILTER(FILTER('Data Scenarios 5-6'!$A$2:$CE$105,'Data Scenarios 5-6'!$A$1:$CE$1=""I_LAPTOP_5_OUTPUT""),'Data Scenarios 5-6'!$B$2:$B$105=$A10,'Data Scenarios 5-6'!$C$2:$C$105=""All"",'Data Scenarios 5-6'!$D$2:$D$105=""Standard Deviation"")"),0.000164273015679072)</f>
        <v>0.000164273015679072</v>
      </c>
      <c r="BS10" s="49" t="n">
        <f aca="false">IFERROR(__xludf.dummyfunction("FILTER(FILTER('Data Scenarios 5-6'!$A$2:$CE$105,'Data Scenarios 5-6'!$A$1:$CE$1=""V_LAPTOP_5_OUTPUT * I_LAPTOP_5_OUTPUT""),'Data Scenarios 5-6'!$B$2:$B$105=$A10,'Data Scenarios 5-6'!$C$2:$C$105=""All"",'Data Scenarios 5-6'!$D$2:$D$105=""Covariance"")"),-0.0000000988485897130867)</f>
        <v>-9.88485897130867E-008</v>
      </c>
      <c r="BT10" s="50" t="n">
        <f aca="false">IFERROR(__xludf.dummyfunction("FILTER(FILTER('Data Scenarios 5-6'!$A$2:$CE$105,'Data Scenarios 5-6'!$A$1:$CE$1=""P_LAPTOP_5_OUTPUT""),'Data Scenarios 5-6'!$B$2:$B$105=$A10,'Data Scenarios 5-6'!$C$2:$C$105=""All"",'Data Scenarios 5-6'!$D$2:$D$105=""Standard Deviation"")"),0.00242250610364947)</f>
        <v>0.00242250610364947</v>
      </c>
      <c r="BU10" s="51" t="n">
        <f aca="false">ABS(I10)*SQRT((BQ10/F10)^2+(BR10/G10)^2+2*BS10/(F10*G10))</f>
        <v>0.00542643608535472</v>
      </c>
      <c r="BV10" s="47" t="n">
        <f aca="false">IFERROR(__xludf.dummyfunction("FILTER(FILTER('Data Scenarios 5-6'!$A$2:$CE$105,'Data Scenarios 5-6'!$A$1:$CE$1=""V_LAPTOP_6_OUTPUT""),'Data Scenarios 5-6'!$B$2:$B$105=$A10,'Data Scenarios 5-6'!$C$2:$C$105=""All"",'Data Scenarios 5-6'!$D$2:$D$105=""Standard Deviation"")"),0.00617394660453421)</f>
        <v>0.00617394660453421</v>
      </c>
      <c r="BW10" s="50" t="n">
        <f aca="false">IFERROR(__xludf.dummyfunction("FILTER(FILTER('Data Scenarios 5-6'!$A$2:$CE$105,'Data Scenarios 5-6'!$A$1:$CE$1=""I_LAPTOP_6_OUTPUT""),'Data Scenarios 5-6'!$B$2:$B$105=$A10,'Data Scenarios 5-6'!$C$2:$C$105=""All"",'Data Scenarios 5-6'!$D$2:$D$105=""Standard Deviation"")"),0.00438444907710962)</f>
        <v>0.00438444907710962</v>
      </c>
      <c r="BX10" s="52" t="n">
        <f aca="false">IFERROR(__xludf.dummyfunction("FILTER(FILTER('Data Scenarios 5-6'!$A$2:$CE$105,'Data Scenarios 5-6'!$A$1:$CE$1=""V_LAPTOP_6_OUTPUT * I_LAPTOP_6_OUTPUT""),'Data Scenarios 5-6'!$B$2:$B$105=$A10,'Data Scenarios 5-6'!$C$2:$C$105=""All"",'Data Scenarios 5-6'!$D$2:$D$105=""Covariance"")"),0.000000030046879139637)</f>
        <v>3.0046879139637E-008</v>
      </c>
      <c r="BY10" s="38" t="n">
        <f aca="false">IFERROR(__xludf.dummyfunction("FILTER(FILTER('Data Scenarios 5-6'!$A$2:$CE$105,'Data Scenarios 5-6'!$A$1:$CE$1=""P_LAPTOP_6_OUTPUT""),'Data Scenarios 5-6'!$B$2:$B$105=$A10,'Data Scenarios 5-6'!$C$2:$C$105=""All"",'Data Scenarios 5-6'!$D$2:$D$105=""Standard Deviation"")"),0.0672096513997239)</f>
        <v>0.0672096513997239</v>
      </c>
      <c r="BZ10" s="71" t="n">
        <f aca="false">ABS(M10)*SQRT((BV10/J10)^2+(BW10/K10)^2+2*BX10/(J10*K10))</f>
        <v>0.0821707474649219</v>
      </c>
      <c r="CA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B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C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D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E10" s="73" t="n">
        <f aca="false">ABS(Q10)*SQRT((CA10/N10)^2+(CB10/O10)^2+2*CC10/(N10*O10))</f>
        <v>0.501846580507345</v>
      </c>
      <c r="CF10" s="54" t="n">
        <f aca="false">IFERROR(__xludf.dummyfunction("FILTER(FILTER('Data Scenarios 5-6'!$A$2:$CE$105,'Data Scenarios 5-6'!$A$1:$CE$1=""V_LED_2""),'Data Scenarios 5-6'!$B$2:$B$105=$A10,'Data Scenarios 5-6'!$C$2:$C$105=""All"",'Data Scenarios 5-6'!$D$2:$D$105=""Standard Deviation"")"),0.000444942960866928)</f>
        <v>0.000444942960866928</v>
      </c>
      <c r="CG10" s="38" t="n">
        <f aca="false">IFERROR(__xludf.dummyfunction("FILTER(FILTER('Data Scenarios 5-6'!$A$2:$CE$105,'Data Scenarios 5-6'!$A$1:$CE$1=""I_LED_2""),'Data Scenarios 5-6'!$B$2:$B$105=$A10,'Data Scenarios 5-6'!$C$2:$C$105=""All"",'Data Scenarios 5-6'!$D$2:$D$105=""Standard Deviation"")"),0.0135063571981048)</f>
        <v>0.0135063571981048</v>
      </c>
      <c r="CH10" s="72" t="n">
        <f aca="false">IFERROR(__xludf.dummyfunction("FILTER(FILTER('Data Scenarios 5-6'!$A$2:$CE$105,'Data Scenarios 5-6'!$A$1:$CE$1=""V_LED_2 * I_LED_2""),'Data Scenarios 5-6'!$B$2:$B$105=$A10,'Data Scenarios 5-6'!$C$2:$C$105=""All"",'Data Scenarios 5-6'!$D$2:$D$105=""Covariance"")"),0.00000767005298435798)</f>
        <v>7.67005298435798E-006</v>
      </c>
      <c r="CI10" s="65" t="n">
        <f aca="false">IFERROR(__xludf.dummyfunction("FILTER(FILTER('Data Scenarios 5-6'!$A$2:$CE$105,'Data Scenarios 5-6'!$A$1:$CE$1=""P_LED_2""),'Data Scenarios 5-6'!$B$2:$B$105=$A10,'Data Scenarios 5-6'!$C$2:$C$105=""All"",'Data Scenarios 5-6'!$D$2:$D$105=""Standard Deviation"")"),0.327823955697928)</f>
        <v>0.327823955697928</v>
      </c>
      <c r="CJ10" s="73" t="n">
        <f aca="false">ABS(U10)*SQRT((CF10/R10)^2+(CG10/S10)^2+2*CH10/(R10*S10))</f>
        <v>0.329040217050821</v>
      </c>
      <c r="CK10" s="59" t="n">
        <f aca="false">IFERROR(__xludf.dummyfunction("FILTER(FILTER('Data Scenarios 5-6'!$A$2:$CE$105,'Data Scenarios 5-6'!$A$1:$CE$1=""V_LED_1""),'Data Scenarios 5-6'!$B$2:$B$105=$A10,'Data Scenarios 5-6'!$C$2:$C$105=""All"",'Data Scenarios 5-6'!$D$2:$D$105=""Standard Deviation"")"),0.0199486877309624)</f>
        <v>0.0199486877309624</v>
      </c>
      <c r="CL10" s="38" t="n">
        <f aca="false">IFERROR(__xludf.dummyfunction("FILTER(FILTER('Data Scenarios 5-6'!$A$2:$CE$105,'Data Scenarios 5-6'!$A$1:$CE$1=""I_LED_1""),'Data Scenarios 5-6'!$B$2:$B$105=$A10,'Data Scenarios 5-6'!$C$2:$C$105=""All"",'Data Scenarios 5-6'!$D$2:$D$105=""Standard Deviation"")"),0.0207788148739504)</f>
        <v>0.0207788148739504</v>
      </c>
      <c r="CM10" s="70" t="n">
        <f aca="false">IFERROR(__xludf.dummyfunction("FILTER(FILTER('Data Scenarios 5-6'!$A$2:$CE$105,'Data Scenarios 5-6'!$A$1:$CE$1=""V_LED_1 * I_LED_1""),'Data Scenarios 5-6'!$B$2:$B$105=$A10,'Data Scenarios 5-6'!$C$2:$C$105=""All"",'Data Scenarios 5-6'!$D$2:$D$105=""Covariance"")"),0.0000122887287551736)</f>
        <v>1.22887287551736E-005</v>
      </c>
      <c r="CN10" s="65" t="n">
        <f aca="false">IFERROR(__xludf.dummyfunction("FILTER(FILTER('Data Scenarios 5-6'!$A$2:$CE$105,'Data Scenarios 5-6'!$A$1:$CE$1=""P_LED_1""),'Data Scenarios 5-6'!$B$2:$B$105=$A10,'Data Scenarios 5-6'!$C$2:$C$105=""All"",'Data Scenarios 5-6'!$D$2:$D$105=""Standard Deviation"")"),0.5242523522485)</f>
        <v>0.5242523522485</v>
      </c>
      <c r="CO10" s="73" t="n">
        <f aca="false">ABS(Y10)*SQRT((CK10/V10)^2+(CL10/W10)^2+2*CM10/(V10*W10))</f>
        <v>0.506536338938271</v>
      </c>
      <c r="CP10" s="48" t="n">
        <f aca="false">IFERROR(__xludf.dummyfunction("FILTER(FILTER('Data Scenarios 5-6'!$A$2:$CE$105,'Data Scenarios 5-6'!$A$1:$CE$1=""V_RESISTOR_1A""),'Data Scenarios 5-6'!$B$2:$B$105=$A10,'Data Scenarios 5-6'!$C$2:$C$105=""All"",'Data Scenarios 5-6'!$D$2:$D$105=""Standard Deviation"")"),0.000219178121584933)</f>
        <v>0.000219178121584933</v>
      </c>
      <c r="CQ10" s="40" t="n">
        <v>0.045</v>
      </c>
      <c r="CR10" s="50" t="n">
        <f aca="false">IFERROR(__xludf.dummyfunction("FILTER(FILTER('Data Scenarios 5-6'!$A$2:$CE$105,'Data Scenarios 5-6'!$A$1:$CE$1=""P_RESISTOR_1A""),'Data Scenarios 5-6'!$B$2:$B$105=$A10,'Data Scenarios 5-6'!$C$2:$C$105=""All"",'Data Scenarios 5-6'!$D$2:$D$105=""Standard Deviation"")"),0.00153806233948816)</f>
        <v>0.00153806233948816</v>
      </c>
      <c r="CS10" s="73" t="n">
        <f aca="false">SQRT(CP10^2*(2*Z10/AA10)^2+CQ10^2*(Z10^2/AA10^2)^2)</f>
        <v>0.554483602756522</v>
      </c>
      <c r="CT10" s="48" t="n">
        <f aca="false">IFERROR(__xludf.dummyfunction("FILTER(FILTER('Data Scenarios 5-6'!$A$2:$CE$105,'Data Scenarios 5-6'!$A$1:$CE$1=""V_RESISTOR_1B""),'Data Scenarios 5-6'!$B$2:$B$105=$A10,'Data Scenarios 5-6'!$C$2:$C$105=""All"",'Data Scenarios 5-6'!$D$2:$D$105=""Standard Deviation"")"),0.000158296533078106)</f>
        <v>0.000158296533078106</v>
      </c>
      <c r="CU10" s="40" t="n">
        <v>0.029</v>
      </c>
      <c r="CV10" s="50" t="n">
        <f aca="false">IFERROR(__xludf.dummyfunction("FILTER(FILTER('Data Scenarios 5-6'!$A$2:$CE$105,'Data Scenarios 5-6'!$A$1:$CE$1=""P_RESISTOR_1B""),'Data Scenarios 5-6'!$B$2:$B$105=$A10,'Data Scenarios 5-6'!$C$2:$C$105=""All"",'Data Scenarios 5-6'!$D$2:$D$105=""Standard Deviation"")"),0.00110828460127196)</f>
        <v>0.00110828460127196</v>
      </c>
      <c r="CW10" s="73" t="n">
        <f aca="false">SQRT(CT10^2*(2*AD10/AE10)^2+CU10^2*(AD10^2/AE10^2)^2)</f>
        <v>0.355386015608246</v>
      </c>
      <c r="CX10" s="48" t="n">
        <f aca="false">IFERROR(__xludf.dummyfunction("FILTER(FILTER('Data Scenarios 5-6'!$A$2:$CE$105,'Data Scenarios 5-6'!$A$1:$CE$1=""V_RESISTOR_1C""),'Data Scenarios 5-6'!$B$2:$B$105=$A10,'Data Scenarios 5-6'!$C$2:$C$105=""All"",'Data Scenarios 5-6'!$D$2:$D$105=""Standard Deviation"")"),0.000135371735451498)</f>
        <v>0.000135371735451498</v>
      </c>
      <c r="CY10" s="40" t="n">
        <v>0.029</v>
      </c>
      <c r="CZ10" s="50" t="n">
        <f aca="false">IFERROR(__xludf.dummyfunction("FILTER(FILTER('Data Scenarios 5-6'!$A$2:$CE$105,'Data Scenarios 5-6'!$A$1:$CE$1=""P_RESISTOR_1C""),'Data Scenarios 5-6'!$B$2:$B$105=$A10,'Data Scenarios 5-6'!$C$2:$C$105=""All"",'Data Scenarios 5-6'!$D$2:$D$105=""Standard Deviation"")"),0.000955415647808656)</f>
        <v>0.000955415647808656</v>
      </c>
      <c r="DA10" s="73" t="n">
        <f aca="false">SQRT(CX10^2*(2*AH10/AI10)^2+CY10^2*(AH10^2/AI10^2)^2)</f>
        <v>0.361029352461745</v>
      </c>
      <c r="DB10" s="48" t="n">
        <f aca="false">IFERROR(__xludf.dummyfunction("FILTER(FILTER('Data Scenarios 5-6'!$A$2:$CE$105,'Data Scenarios 5-6'!$A$1:$CE$1=""V_RESISTOR_1D""),'Data Scenarios 5-6'!$B$2:$B$105=$A10,'Data Scenarios 5-6'!$C$2:$C$105=""All"",'Data Scenarios 5-6'!$D$2:$D$105=""Standard Deviation"")"),0.000524619812364353)</f>
        <v>0.000524619812364353</v>
      </c>
      <c r="DC10" s="40" t="n">
        <v>0.049</v>
      </c>
      <c r="DD10" s="50" t="n">
        <f aca="false">IFERROR(__xludf.dummyfunction("FILTER(FILTER('Data Scenarios 5-6'!$A$2:$CE$105,'Data Scenarios 5-6'!$A$1:$CE$1=""P_RESISTOR_1D""),'Data Scenarios 5-6'!$B$2:$B$105=$A10,'Data Scenarios 5-6'!$C$2:$C$105=""All"",'Data Scenarios 5-6'!$D$2:$D$105=""Standard Deviation"")"),0.00353812311369004)</f>
        <v>0.00353812311369004</v>
      </c>
      <c r="DE10" s="73" t="n">
        <f aca="false">SQRT(DB10^2*(2*AL10/AM10)^2+DC10^2*(AL10^2/AM10^2)^2)</f>
        <v>0.557350911792273</v>
      </c>
      <c r="DF10" s="147" t="n">
        <f aca="false">IFERROR(__xludf.dummyfunction("FILTER(FILTER('Data Scenarios 5-6'!$A$2:$CE$105,'Data Scenarios 5-6'!$A$1:$CE$1=""V_RESISTOR_1E""),'Data Scenarios 5-6'!$B$2:$B$105=$A10,'Data Scenarios 5-6'!$C$2:$C$105=""All"",'Data Scenarios 5-6'!$D$2:$D$105=""Standard Deviation"")"),0.0000290440195316813)</f>
        <v>2.90440195316813E-005</v>
      </c>
      <c r="DG10" s="40"/>
      <c r="DH10" s="41" t="n">
        <f aca="false">IFERROR(__xludf.dummyfunction("FILTER(FILTER('Data Scenarios 5-6'!$A$2:$CE$105,'Data Scenarios 5-6'!$A$1:$CE$1=""P_RESISTOR_1E""),'Data Scenarios 5-6'!$B$2:$B$105=$A10,'Data Scenarios 5-6'!$C$2:$C$105=""All"",'Data Scenarios 5-6'!$D$2:$D$105=""Standard Deviation"")"),9.16448104029361E-028)</f>
        <v>9.16448104029361E-028</v>
      </c>
      <c r="DI10" s="150" t="n">
        <v>0</v>
      </c>
      <c r="DJ10" s="147" t="n">
        <f aca="false">IFERROR(__xludf.dummyfunction("FILTER(FILTER('Data Scenarios 5-6'!$A$2:$CE$105,'Data Scenarios 5-6'!$A$1:$CE$1=""V_RESISTOR_1F""),'Data Scenarios 5-6'!$B$2:$B$105=$A10,'Data Scenarios 5-6'!$C$2:$C$105=""All"",'Data Scenarios 5-6'!$D$2:$D$105=""Standard Deviation"")"),0.0000159640387610463)</f>
        <v>1.59640387610463E-005</v>
      </c>
      <c r="DK10" s="40"/>
      <c r="DL10" s="41" t="n">
        <f aca="false">IFERROR(__xludf.dummyfunction("FILTER(FILTER('Data Scenarios 5-6'!$A$2:$CE$105,'Data Scenarios 5-6'!$A$1:$CE$1=""P_RESISTOR_1F""),'Data Scenarios 5-6'!$B$2:$B$105=$A10,'Data Scenarios 5-6'!$C$2:$C$105=""All"",'Data Scenarios 5-6'!$D$2:$D$105=""Standard Deviation"")"),7.28238911884891E-028)</f>
        <v>7.28238911884891E-028</v>
      </c>
      <c r="DM10" s="150" t="n">
        <v>0</v>
      </c>
      <c r="DN10" s="147" t="n">
        <f aca="false">IFERROR(__xludf.dummyfunction("FILTER(FILTER('Data Scenarios 5-6'!$A$2:$CE$105,'Data Scenarios 5-6'!$A$1:$CE$1=""V_RESISTOR_1G""),'Data Scenarios 5-6'!$B$2:$B$105=$A10,'Data Scenarios 5-6'!$C$2:$C$105=""All"",'Data Scenarios 5-6'!$D$2:$D$105=""Standard Deviation"")"),0.00000802014143587333)</f>
        <v>8.02014143587333E-006</v>
      </c>
      <c r="DO10" s="40"/>
      <c r="DP10" s="41" t="n">
        <f aca="false">IFERROR(__xludf.dummyfunction("FILTER(FILTER('Data Scenarios 5-6'!$A$2:$CE$105,'Data Scenarios 5-6'!$A$1:$CE$1=""P_RESISTOR_1G""),'Data Scenarios 5-6'!$B$2:$B$105=$A10,'Data Scenarios 5-6'!$C$2:$C$105=""All"",'Data Scenarios 5-6'!$D$2:$D$105=""Standard Deviation"")"),3.98784318217592E-028)</f>
        <v>3.98784318217592E-028</v>
      </c>
      <c r="DQ10" s="150" t="n">
        <v>0</v>
      </c>
      <c r="DR10" s="57" t="n">
        <f aca="false">IFERROR(__xludf.dummyfunction("FILTER(FILTER('Data Scenarios 5-6'!$A$2:$CE$105,'Data Scenarios 5-6'!$A$1:$CE$1=""P_In""),'Data Scenarios 5-6'!$B$2:$B$105=$A10,'Data Scenarios 5-6'!$C$2:$C$105=""All"",'Data Scenarios 5-6'!$D$2:$D$105=""Standard Deviation"")"),0.236903578074296)</f>
        <v>0.236903578074296</v>
      </c>
      <c r="DS10" s="57" t="n">
        <f aca="false">IFERROR(__xludf.dummyfunction("FILTER(FILTER('Data Scenarios 5-6'!$A$2:$CE$105,'Data Scenarios 5-6'!$A$1:$CE$1=""P_Secondary""),'Data Scenarios 5-6'!$B$2:$B$105=$A10,'Data Scenarios 5-6'!$C$2:$C$105=""All"",'Data Scenarios 5-6'!$D$2:$D$105=""Standard Deviation"")"),0.262025955441876)</f>
        <v>0.262025955441876</v>
      </c>
      <c r="DT10" s="45" t="n">
        <f aca="false">IFERROR(__xludf.dummyfunction("FILTER(FILTER('Data Scenarios 5-6'!$A$2:$CE$105,'Data Scenarios 5-6'!$A$1:$CE$1=""P_Out""),'Data Scenarios 5-6'!$B$2:$B$105=$A10,'Data Scenarios 5-6'!$C$2:$C$105=""All"",'Data Scenarios 5-6'!$D$2:$D$105=""Standard Deviation"")"),1.30544827907765)</f>
        <v>1.30544827907765</v>
      </c>
      <c r="DU10" s="75" t="n">
        <f aca="false">SQRT(BO10^2+BT10^2+BY10^2+CD10^2+CI10^2+CN10^2+CS10^2+CW10^2+DA10^2+DE10^2+DI10^2+DM10^2+DQ10^2)</f>
        <v>1.23959102850529</v>
      </c>
      <c r="DV10" s="59" t="n">
        <f aca="false">IFERROR(__xludf.dummyfunction("FILTER(FILTER('Data Scenarios 5-6'!$A$2:$CE$105,'Data Scenarios 5-6'!$A$1:$CE$1=""P_TransformerLoss""),'Data Scenarios 5-6'!$B$2:$B$105=$A10,'Data Scenarios 5-6'!$C$2:$C$105=""All"",'Data Scenarios 5-6'!$D$2:$D$105=""Standard Deviation"")"),0.0463327670306225)</f>
        <v>0.0463327670306225</v>
      </c>
      <c r="DW10" s="62" t="n">
        <f aca="false">SQRT(DR10^2+DS10^2)</f>
        <v>0.353243409888468</v>
      </c>
      <c r="DX10" s="41" t="n">
        <f aca="false">IFERROR(__xludf.dummyfunction("FILTER(FILTER('Data Scenarios 5-6'!$A$2:$CE$105,'Data Scenarios 5-6'!$A$1:$CE$1=""P_ConverterLoss""),'Data Scenarios 5-6'!$B$2:$B$105=$A10,'Data Scenarios 5-6'!$C$2:$C$105=""All"",'Data Scenarios 5-6'!$D$2:$D$105=""Standard Deviation"")"),1.39099438306487)</f>
        <v>1.39099438306487</v>
      </c>
      <c r="DY10" s="75" t="n">
        <f aca="false">SQRT(DS10^2+MAX(DT10:DU10)^2)</f>
        <v>1.33148518980574</v>
      </c>
      <c r="DZ10" s="41" t="n">
        <f aca="false">IFERROR(__xludf.dummyfunction("FILTER(FILTER('Data Scenarios 5-6'!$A$2:$CE$105,'Data Scenarios 5-6'!$A$1:$CE$1=""P_SystemLoss""),'Data Scenarios 5-6'!$B$2:$B$105=$A10,'Data Scenarios 5-6'!$C$2:$C$105=""All"",'Data Scenarios 5-6'!$D$2:$D$105=""Standard Deviation"")"),1.41372614531689)</f>
        <v>1.41372614531689</v>
      </c>
      <c r="EA10" s="75" t="n">
        <f aca="false">SQRT(DR10^2+MAX(DT10:DU10)^2)</f>
        <v>1.32676995543734</v>
      </c>
      <c r="EB10" s="155" t="n">
        <v>691.175210292473</v>
      </c>
      <c r="EC10" s="156" t="n">
        <v>624.553926481045</v>
      </c>
      <c r="ED10" s="156" t="n">
        <v>66.6212838114274</v>
      </c>
      <c r="EE10" s="156" t="n">
        <v>71.4869264810454</v>
      </c>
      <c r="EF10" s="156" t="n">
        <v>138.108210292473</v>
      </c>
      <c r="EG10" s="45" t="n">
        <f aca="false">EB10-BB10</f>
        <v>10.503966181362</v>
      </c>
      <c r="EH10" s="65" t="n">
        <f aca="false">TINV(0.1,2)*DR10/SQRT(3)</f>
        <v>0.399384953887179</v>
      </c>
      <c r="EI10" s="66" t="n">
        <f aca="false">EG10/BB10</f>
        <v>0.0154317760185082</v>
      </c>
      <c r="EJ10" s="67" t="n">
        <f aca="false">EH10/BB10</f>
        <v>0.000586751618115932</v>
      </c>
      <c r="EK10" s="45" t="n">
        <f aca="false">EC10-BC10</f>
        <v>5.39628703660094</v>
      </c>
      <c r="EL10" s="65" t="n">
        <f aca="false">TINV(0.1,2)*DS10/SQRT(3)</f>
        <v>0.441737625839397</v>
      </c>
      <c r="EM10" s="66" t="n">
        <f aca="false">EK10/BC10</f>
        <v>0.00871553008930473</v>
      </c>
      <c r="EN10" s="67" t="n">
        <f aca="false">EL10/BC10</f>
        <v>0.000713449366845829</v>
      </c>
      <c r="EO10" s="45" t="n">
        <f aca="false">ED10-BF10</f>
        <v>5.1076791447608</v>
      </c>
      <c r="EP10" s="65" t="n">
        <f aca="false">TINV(0.1,2)*DV10/SQRT(3)</f>
        <v>0.0781103019819621</v>
      </c>
      <c r="EQ10" s="66" t="n">
        <f aca="false">EO10/BF10</f>
        <v>0.083033325269078</v>
      </c>
      <c r="ER10" s="66" t="n">
        <f aca="false">EP10/BF10</f>
        <v>0.00126980531225947</v>
      </c>
      <c r="ES10" s="45" t="n">
        <f aca="false">EE10-BH10</f>
        <v>5.3961920501434</v>
      </c>
      <c r="ET10" s="65" t="n">
        <f aca="false">TINV(0.1,2)*MAX(DX10,DY10)/SQRT(3)</f>
        <v>2.3450140857031</v>
      </c>
      <c r="EU10" s="66" t="n">
        <f aca="false">ES10/BH10</f>
        <v>0.0816482385406857</v>
      </c>
      <c r="EV10" s="67" t="n">
        <f aca="false">ET10/BH10</f>
        <v>0.0354817374310588</v>
      </c>
      <c r="EW10" s="45" t="n">
        <f aca="false">EF10-BJ10</f>
        <v>10.503871194905</v>
      </c>
      <c r="EX10" s="65" t="n">
        <f aca="false">TINV(0.1,2)*MAX(DZ10,EA10)/SQRT(3)</f>
        <v>2.38333652849858</v>
      </c>
      <c r="EY10" s="66" t="n">
        <f aca="false">EW10/BJ10</f>
        <v>0.0823159405799954</v>
      </c>
      <c r="EZ10" s="66" t="n">
        <f aca="false">EX10/BJ10</f>
        <v>0.0186775508211853</v>
      </c>
    </row>
    <row r="11" customFormat="false" ht="12.75" hidden="false" customHeight="false" outlineLevel="0" collapsed="false">
      <c r="A11" s="37" t="n">
        <v>6.4</v>
      </c>
      <c r="B11" s="38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5-6'!$D$2:$D$105=""Mean"")"),18.1133694694444)</f>
        <v>18.1133694694444</v>
      </c>
      <c r="C11" s="38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5-6'!$D$2:$D$105=""Mean"")"),4.07269219585926)</f>
        <v>4.07269219585926</v>
      </c>
      <c r="D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5-6'!$D$2:$D$105=""Mean"")"),73.7702086810028)</f>
        <v>73.7702086810028</v>
      </c>
      <c r="E11" s="68" t="n">
        <f aca="false">B11*C11</f>
        <v>73.7701784789216</v>
      </c>
      <c r="F11" s="38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5-6'!$D$2:$D$105=""Mean"")"),17.9434199916666)</f>
        <v>17.9434199916666</v>
      </c>
      <c r="G11" s="38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5-6'!$D$2:$D$105=""Mean"")"),3.96094372087339)</f>
        <v>3.96094372087339</v>
      </c>
      <c r="H11" s="65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5-6'!$D$2:$D$105=""Mean"")"),71.0728917298878)</f>
        <v>71.0728917298878</v>
      </c>
      <c r="I11" s="68" t="n">
        <f aca="false">F11*G11</f>
        <v>71.0728767469859</v>
      </c>
      <c r="J11" s="38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5-6'!$D$2:$D$105=""Mean"")"),18.1966388305555)</f>
        <v>18.1966388305555</v>
      </c>
      <c r="K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5-6'!$D$2:$D$105=""Mean"")"),3.93799455777568)</f>
        <v>3.93799455777568</v>
      </c>
      <c r="L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5-6'!$D$2:$D$105=""Mean"")"),71.6583446742351)</f>
        <v>71.6583446742351</v>
      </c>
      <c r="M11" s="68" t="n">
        <f aca="false">J11*K11</f>
        <v>71.6582646845372</v>
      </c>
      <c r="N11" s="38" t="n">
        <f aca="false">IFERROR(__xludf.dummyfunction("FILTER(FILTER('Data Scenarios 5-6'!$A$2:$CE$105,'Data Scenarios 5-6'!$A$1:$CE$1=""V_LED_1""),'Data Scenarios 5-6'!$B$2:$B$105=$A11,'Data Scenarios 5-6'!$C$2:$C$105=""All"",'Data Scenarios 5-6'!$D$2:$D$105=""Mean"")"),24.0328116111111)</f>
        <v>24.0328116111111</v>
      </c>
      <c r="O11" s="38" t="n">
        <f aca="false">IFERROR(__xludf.dummyfunction("FILTER(FILTER('Data Scenarios 5-6'!$A$2:$CE$105,'Data Scenarios 5-6'!$A$1:$CE$1=""I_LED_1""),'Data Scenarios 5-6'!$B$2:$B$105=$A11,'Data Scenarios 5-6'!$C$2:$C$105=""All"",'Data Scenarios 5-6'!$D$2:$D$105=""Mean"")"),1.21394803611111)</f>
        <v>1.21394803611111</v>
      </c>
      <c r="P11" s="65" t="n">
        <f aca="false">IFERROR(__xludf.dummyfunction("FILTER(FILTER('Data Scenarios 5-6'!$A$2:$CE$105,'Data Scenarios 5-6'!$A$1:$CE$1=""P_LED_1""),'Data Scenarios 5-6'!$B$2:$B$105=$A11,'Data Scenarios 5-6'!$C$2:$C$105=""All"",'Data Scenarios 5-6'!$D$2:$D$105=""Mean"")"),29.1743836666666)</f>
        <v>29.1743836666666</v>
      </c>
      <c r="Q11" s="68" t="n">
        <f aca="false">N11*O11</f>
        <v>29.1745844575366</v>
      </c>
      <c r="R11" s="38" t="n">
        <f aca="false">IFERROR(__xludf.dummyfunction("FILTER(FILTER('Data Scenarios 5-6'!$A$2:$CE$105,'Data Scenarios 5-6'!$A$1:$CE$1=""V_LED_2""),'Data Scenarios 5-6'!$B$2:$B$105=$A11,'Data Scenarios 5-6'!$C$2:$C$105=""All"",'Data Scenarios 5-6'!$D$2:$D$105=""Mean"")"),24.222343)</f>
        <v>24.222343</v>
      </c>
      <c r="S11" s="38" t="n">
        <f aca="false">IFERROR(__xludf.dummyfunction("FILTER(FILTER('Data Scenarios 5-6'!$A$2:$CE$105,'Data Scenarios 5-6'!$A$1:$CE$1=""I_LED_2""),'Data Scenarios 5-6'!$B$2:$B$105=$A11,'Data Scenarios 5-6'!$C$2:$C$105=""All"",'Data Scenarios 5-6'!$D$2:$D$105=""Mean"")"),1.21477714166666)</f>
        <v>1.21477714166666</v>
      </c>
      <c r="T11" s="65" t="n">
        <f aca="false">IFERROR(__xludf.dummyfunction("FILTER(FILTER('Data Scenarios 5-6'!$A$2:$CE$105,'Data Scenarios 5-6'!$A$1:$CE$1=""P_LED_2""),'Data Scenarios 5-6'!$B$2:$B$105=$A11,'Data Scenarios 5-6'!$C$2:$C$105=""All"",'Data Scenarios 5-6'!$D$2:$D$105=""Mean"")"),29.4245994722222)</f>
        <v>29.4245994722222</v>
      </c>
      <c r="U11" s="68" t="n">
        <f aca="false">R11*S11</f>
        <v>29.4247485940094</v>
      </c>
      <c r="V11" s="38" t="n">
        <f aca="false">IFERROR(__xludf.dummyfunction("FILTER(FILTER('Data Scenarios 5-6'!$A$2:$CE$105,'Data Scenarios 5-6'!$A$1:$CE$1=""V_LED_3""),'Data Scenarios 5-6'!$B$2:$B$105=$A11,'Data Scenarios 5-6'!$C$2:$C$105=""All"",'Data Scenarios 5-6'!$D$2:$D$105=""Mean"")"),24.2246559166666)</f>
        <v>24.2246559166666</v>
      </c>
      <c r="W11" s="38" t="n">
        <f aca="false">IFERROR(__xludf.dummyfunction("FILTER(FILTER('Data Scenarios 5-6'!$A$2:$CE$105,'Data Scenarios 5-6'!$A$1:$CE$1=""I_LED_3""),'Data Scenarios 5-6'!$B$2:$B$105=$A11,'Data Scenarios 5-6'!$C$2:$C$105=""All"",'Data Scenarios 5-6'!$D$2:$D$105=""Mean"")"),1.21978277222222)</f>
        <v>1.21978277222222</v>
      </c>
      <c r="X11" s="65" t="n">
        <f aca="false">IFERROR(__xludf.dummyfunction("FILTER(FILTER('Data Scenarios 5-6'!$A$2:$CE$105,'Data Scenarios 5-6'!$A$1:$CE$1=""P_LED_3""),'Data Scenarios 5-6'!$B$2:$B$105=$A11,'Data Scenarios 5-6'!$C$2:$C$105=""All"",'Data Scenarios 5-6'!$D$2:$D$105=""Mean"")"),29.5486846944444)</f>
        <v>29.5486846944444</v>
      </c>
      <c r="Y11" s="68" t="n">
        <f aca="false">V11*W11</f>
        <v>29.548817950161</v>
      </c>
      <c r="Z11" s="38" t="n">
        <f aca="false">IFERROR(__xludf.dummyfunction("FILTER(FILTER('Data Scenarios 5-6'!$A$2:$CE$105,'Data Scenarios 5-6'!$A$1:$CE$1=""V_RESISTOR_1A""),'Data Scenarios 5-6'!$B$2:$B$105=$A11,'Data Scenarios 5-6'!$C$2:$C$105=""All"",'Data Scenarios 5-6'!$D$2:$D$105=""Mean"")"),24.1584050861111)</f>
        <v>24.1584050861111</v>
      </c>
      <c r="AA11" s="40" t="n">
        <v>6.907</v>
      </c>
      <c r="AB11" s="41" t="n">
        <f aca="false">IFERROR(__xludf.dummyfunction("FILTER(FILTER('Data Scenarios 5-6'!$A$2:$CE$105,'Data Scenarios 5-6'!$A$1:$CE$1=""P_RESISTOR_1A""),'Data Scenarios 5-6'!$B$2:$B$105=$A11,'Data Scenarios 5-6'!$C$2:$C$105=""All"",'Data Scenarios 5-6'!$D$2:$D$105=""Mean"")"),84.4614382026987)</f>
        <v>84.4614382026987</v>
      </c>
      <c r="AC11" s="39" t="n">
        <f aca="false">Z11^2/AA11</f>
        <v>84.4981231076645</v>
      </c>
      <c r="AD11" s="38" t="n">
        <f aca="false">IFERROR(__xludf.dummyfunction("FILTER(FILTER('Data Scenarios 5-6'!$A$2:$CE$105,'Data Scenarios 5-6'!$A$1:$CE$1=""V_RESISTOR_1B""),'Data Scenarios 5-6'!$B$2:$B$105=$A11,'Data Scenarios 5-6'!$C$2:$C$105=""All"",'Data Scenarios 5-6'!$D$2:$D$105=""Mean"")"),24.1742143583333)</f>
        <v>24.1742143583333</v>
      </c>
      <c r="AE11" s="40" t="n">
        <v>6.93</v>
      </c>
      <c r="AF11" s="41" t="n">
        <f aca="false">IFERROR(__xludf.dummyfunction("FILTER(FILTER('Data Scenarios 5-6'!$A$2:$CE$105,'Data Scenarios 5-6'!$A$1:$CE$1=""P_RESISTOR_1B""),'Data Scenarios 5-6'!$B$2:$B$105=$A11,'Data Scenarios 5-6'!$C$2:$C$105=""All"",'Data Scenarios 5-6'!$D$2:$D$105=""Mean"")"),84.3279422781948)</f>
        <v>84.3279422781948</v>
      </c>
      <c r="AG11" s="39" t="n">
        <f aca="false">AD11^2/AE11</f>
        <v>84.3279422572364</v>
      </c>
      <c r="AH11" s="38" t="n">
        <f aca="false">IFERROR(__xludf.dummyfunction("FILTER(FILTER('Data Scenarios 5-6'!$A$2:$CE$105,'Data Scenarios 5-6'!$A$1:$CE$1=""V_RESISTOR_1C""),'Data Scenarios 5-6'!$B$2:$B$105=$A11,'Data Scenarios 5-6'!$C$2:$C$105=""All"",'Data Scenarios 5-6'!$D$2:$D$105=""Mean"")"),24.1936058916666)</f>
        <v>24.1936058916666</v>
      </c>
      <c r="AI11" s="40" t="n">
        <v>6.881</v>
      </c>
      <c r="AJ11" s="41" t="n">
        <f aca="false">IFERROR(__xludf.dummyfunction("FILTER(FILTER('Data Scenarios 5-6'!$A$2:$CE$105,'Data Scenarios 5-6'!$A$1:$CE$1=""P_RESISTOR_1C""),'Data Scenarios 5-6'!$B$2:$B$105=$A11,'Data Scenarios 5-6'!$C$2:$C$105=""All"",'Data Scenarios 5-6'!$D$2:$D$105=""Mean"")"),85.0771171660578)</f>
        <v>85.0771171660578</v>
      </c>
      <c r="AK11" s="39" t="n">
        <f aca="false">AH11^2/AI11</f>
        <v>85.0647530942137</v>
      </c>
      <c r="AL11" s="38" t="n">
        <f aca="false">IFERROR(__xludf.dummyfunction("FILTER(FILTER('Data Scenarios 5-6'!$A$2:$CE$105,'Data Scenarios 5-6'!$A$1:$CE$1=""V_RESISTOR_1D""),'Data Scenarios 5-6'!$B$2:$B$105=$A11,'Data Scenarios 5-6'!$C$2:$C$105=""All"",'Data Scenarios 5-6'!$D$2:$D$105=""Mean"")"),24.1891785638888)</f>
        <v>24.1891785638888</v>
      </c>
      <c r="AM11" s="40" t="n">
        <v>7.199</v>
      </c>
      <c r="AN11" s="41" t="n">
        <f aca="false">IFERROR(__xludf.dummyfunction("FILTER(FILTER('Data Scenarios 5-6'!$A$2:$CE$105,'Data Scenarios 5-6'!$A$1:$CE$1=""P_RESISTOR_1D""),'Data Scenarios 5-6'!$B$2:$B$105=$A11,'Data Scenarios 5-6'!$C$2:$C$105=""All"",'Data Scenarios 5-6'!$D$2:$D$105=""Mean"")"),81.266161071017)</f>
        <v>81.266161071017</v>
      </c>
      <c r="AO11" s="39" t="n">
        <f aca="false">AL11^2/AM11</f>
        <v>81.2774495896232</v>
      </c>
      <c r="AP11" s="38" t="n">
        <f aca="false">IFERROR(__xludf.dummyfunction("FILTER(FILTER('Data Scenarios 5-6'!$A$2:$CE$105,'Data Scenarios 5-6'!$A$1:$CE$1=""V_RESISTOR_1E""),'Data Scenarios 5-6'!$B$2:$B$105=$A11,'Data Scenarios 5-6'!$C$2:$C$105=""All"",'Data Scenarios 5-6'!$D$2:$D$105=""Mean"")"),24.1761300611111)</f>
        <v>24.1761300611111</v>
      </c>
      <c r="AQ11" s="40" t="n">
        <v>7.04</v>
      </c>
      <c r="AR11" s="41" t="n">
        <f aca="false">IFERROR(__xludf.dummyfunction("FILTER(FILTER('Data Scenarios 5-6'!$A$2:$CE$105,'Data Scenarios 5-6'!$A$1:$CE$1=""P_RESISTOR_1E""),'Data Scenarios 5-6'!$B$2:$B$105=$A11,'Data Scenarios 5-6'!$C$2:$C$105=""All"",'Data Scenarios 5-6'!$D$2:$D$105=""Mean"")"),83.0234751711695)</f>
        <v>83.0234751711695</v>
      </c>
      <c r="AS11" s="39" t="n">
        <f aca="false">AP11^2/AQ11</f>
        <v>83.0234751039432</v>
      </c>
      <c r="AT11" s="38" t="n">
        <f aca="false">IFERROR(__xludf.dummyfunction("FILTER(FILTER('Data Scenarios 5-6'!$A$2:$CE$105,'Data Scenarios 5-6'!$A$1:$CE$1=""V_RESISTOR_1F""),'Data Scenarios 5-6'!$B$2:$B$105=$A11,'Data Scenarios 5-6'!$C$2:$C$105=""All"",'Data Scenarios 5-6'!$D$2:$D$105=""Mean"")"),24.1832609805555)</f>
        <v>24.1832609805555</v>
      </c>
      <c r="AU11" s="40" t="n">
        <v>7.413</v>
      </c>
      <c r="AV11" s="41" t="n">
        <f aca="false">IFERROR(__xludf.dummyfunction("FILTER(FILTER('Data Scenarios 5-6'!$A$2:$CE$105,'Data Scenarios 5-6'!$A$1:$CE$1=""P_RESISTOR_1F""),'Data Scenarios 5-6'!$B$2:$B$105=$A11,'Data Scenarios 5-6'!$C$2:$C$105=""All"",'Data Scenarios 5-6'!$D$2:$D$105=""Mean"")"),78.9244417726713)</f>
        <v>78.9244417726713</v>
      </c>
      <c r="AW11" s="39" t="n">
        <f aca="false">AT11^2/AU11</f>
        <v>78.8925012348116</v>
      </c>
      <c r="AX11" s="38" t="n">
        <f aca="false">IFERROR(__xludf.dummyfunction("FILTER(FILTER('Data Scenarios 5-6'!$A$2:$CE$105,'Data Scenarios 5-6'!$A$1:$CE$1=""V_RESISTOR_1G""),'Data Scenarios 5-6'!$B$2:$B$105=$A11,'Data Scenarios 5-6'!$C$2:$C$105=""All"",'Data Scenarios 5-6'!$D$2:$D$105=""Mean"")"),24.1850654638888)</f>
        <v>24.1850654638888</v>
      </c>
      <c r="AY11" s="40" t="n">
        <v>7.218</v>
      </c>
      <c r="AZ11" s="41" t="n">
        <f aca="false">IFERROR(__xludf.dummyfunction("FILTER(FILTER('Data Scenarios 5-6'!$A$2:$CE$105,'Data Scenarios 5-6'!$A$1:$CE$1=""P_RESISTOR_1G""),'Data Scenarios 5-6'!$B$2:$B$105=$A11,'Data Scenarios 5-6'!$C$2:$C$105=""All"",'Data Scenarios 5-6'!$D$2:$D$105=""Mean"")"),81.0134893767292)</f>
        <v>81.0134893767292</v>
      </c>
      <c r="BA11" s="39" t="n">
        <f aca="false">AX11^2/AY11</f>
        <v>81.0359367543068</v>
      </c>
      <c r="BB11" s="44" t="n">
        <f aca="false">IFERROR(__xludf.dummyfunction("FILTER(FILTER('Data Scenarios 5-6'!$A$2:$CE$105,'Data Scenarios 5-6'!$A$1:$CE$1=""P_In""),'Data Scenarios 5-6'!$B$2:$B$105=$A11,'Data Scenarios 5-6'!$C$2:$C$105=""All"",'Data Scenarios 5-6'!$D$2:$D$105=""Mean"")"),1051.73746072222)</f>
        <v>1051.73746072222</v>
      </c>
      <c r="BC11" s="44" t="n">
        <f aca="false">IFERROR(__xludf.dummyfunction("FILTER(FILTER('Data Scenarios 5-6'!$A$2:$CE$105,'Data Scenarios 5-6'!$A$1:$CE$1=""P_Secondary""),'Data Scenarios 5-6'!$B$2:$B$105=$A11,'Data Scenarios 5-6'!$C$2:$C$105=""All"",'Data Scenarios 5-6'!$D$2:$D$105=""Mean"")"),975.190294444444)</f>
        <v>975.190294444444</v>
      </c>
      <c r="BD11" s="45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BE11" s="46" t="n">
        <f aca="false">E11+I11+M11+Q11+U11+Y11+AC11+AG11+AK11+AO11+AS11+AW11+BA11</f>
        <v>882.769652053951</v>
      </c>
      <c r="BF11" s="45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5-6'!$D$2:$D$105=""Mean"")"),76.5471662777777)</f>
        <v>76.5471662777777</v>
      </c>
      <c r="BG11" s="46" t="n">
        <f aca="false">BB11-BC11</f>
        <v>76.547166277776</v>
      </c>
      <c r="BH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5-6'!$D$2:$D$105=""Mean"")"),92.4471164874466)</f>
        <v>92.4471164874466</v>
      </c>
      <c r="BI11" s="46" t="n">
        <f aca="false">BC11-BE11</f>
        <v>92.4206423904931</v>
      </c>
      <c r="BJ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5-6'!$D$2:$D$105=""Mean"")"),168.994282765224)</f>
        <v>168.994282765224</v>
      </c>
      <c r="BK11" s="46" t="n">
        <f aca="false">BB11-BE11</f>
        <v>168.967808668269</v>
      </c>
      <c r="BL11" s="59" t="n">
        <f aca="false">IFERROR(__xludf.dummyfunction("FILTER(FILTER('Data Scenarios 5-6'!$A$2:$CE$105,'Data Scenarios 5-6'!$A$1:$CE$1=""V_LAPTOP_4_OUTPUT""),'Data Scenarios 5-6'!$B$2:$B$105=$A11,'Data Scenarios 5-6'!$C$2:$C$105=""All"",'Data Scenarios 5-6'!$D$2:$D$105=""Standard Deviation"")"),0.0101020704794928)</f>
        <v>0.0101020704794928</v>
      </c>
      <c r="BM11" s="50" t="n">
        <f aca="false">IFERROR(__xludf.dummyfunction("FILTER(FILTER('Data Scenarios 5-6'!$A$2:$CE$105,'Data Scenarios 5-6'!$A$1:$CE$1=""I_LAPTOP_4_OUTPUT""),'Data Scenarios 5-6'!$B$2:$B$105=$A11,'Data Scenarios 5-6'!$C$2:$C$105=""All"",'Data Scenarios 5-6'!$D$2:$D$105=""Standard Deviation"")"),0.00370430492013592)</f>
        <v>0.00370430492013592</v>
      </c>
      <c r="BN11" s="50" t="n">
        <f aca="false">IFERROR(__xludf.dummyfunction("FILTER(FILTER('Data Scenarios 5-6'!$A$2:$CE$105,'Data Scenarios 5-6'!$A$1:$CE$1=""V_LAPTOP_4_OUTPUT * I_LAPTOP_4_OUTPUT""),'Data Scenarios 5-6'!$B$2:$B$105=$A11,'Data Scenarios 5-6'!$C$2:$C$105=""All"",'Data Scenarios 5-6'!$D$2:$D$105=""Covariance"")"),0.00148427528101989)</f>
        <v>0.00148427528101989</v>
      </c>
      <c r="BO11" s="65" t="n">
        <f aca="false">IFERROR(__xludf.dummyfunction("FILTER(FILTER('Data Scenarios 5-6'!$A$2:$CE$105,'Data Scenarios 5-6'!$A$1:$CE$1=""P_LAPTOP_4_OUTPUT""),'Data Scenarios 5-6'!$B$2:$B$105=$A11,'Data Scenarios 5-6'!$C$2:$C$105=""All"",'Data Scenarios 5-6'!$D$2:$D$105=""Standard Deviation"")"),0.108154731798586)</f>
        <v>0.108154731798586</v>
      </c>
      <c r="BP11" s="73" t="n">
        <f aca="false">ABS(D11)*SQRT((BL11/A11)^2+(BM11/B11)^2+2*BN11/(A11*B11))</f>
        <v>0.391334844550618</v>
      </c>
      <c r="BQ11" s="47" t="n">
        <f aca="false">IFERROR(__xludf.dummyfunction("FILTER(FILTER('Data Scenarios 5-6'!$A$2:$CE$105,'Data Scenarios 5-6'!$A$1:$CE$1=""V_LAPTOP_5_OUTPUT""),'Data Scenarios 5-6'!$B$2:$B$105=$A11,'Data Scenarios 5-6'!$C$2:$C$105=""All"",'Data Scenarios 5-6'!$D$2:$D$105=""Standard Deviation"")"),0.00740988266305766)</f>
        <v>0.00740988266305766</v>
      </c>
      <c r="BR11" s="50" t="n">
        <f aca="false">IFERROR(__xludf.dummyfunction("FILTER(FILTER('Data Scenarios 5-6'!$A$2:$CE$105,'Data Scenarios 5-6'!$A$1:$CE$1=""I_LAPTOP_5_OUTPUT""),'Data Scenarios 5-6'!$B$2:$B$105=$A11,'Data Scenarios 5-6'!$C$2:$C$105=""All"",'Data Scenarios 5-6'!$D$2:$D$105=""Standard Deviation"")"),0.00218366943339906)</f>
        <v>0.00218366943339906</v>
      </c>
      <c r="BS11" s="70" t="n">
        <f aca="false">IFERROR(__xludf.dummyfunction("FILTER(FILTER('Data Scenarios 5-6'!$A$2:$CE$105,'Data Scenarios 5-6'!$A$1:$CE$1=""V_LAPTOP_5_OUTPUT * I_LAPTOP_5_OUTPUT""),'Data Scenarios 5-6'!$B$2:$B$105=$A11,'Data Scenarios 5-6'!$C$2:$C$105=""All"",'Data Scenarios 5-6'!$D$2:$D$105=""Covariance"")"),-0.0000146334417758377)</f>
        <v>-1.46334417758377E-005</v>
      </c>
      <c r="BT11" s="38" t="n">
        <f aca="false">IFERROR(__xludf.dummyfunction("FILTER(FILTER('Data Scenarios 5-6'!$A$2:$CE$105,'Data Scenarios 5-6'!$A$1:$CE$1=""P_LAPTOP_5_OUTPUT""),'Data Scenarios 5-6'!$B$2:$B$105=$A11,'Data Scenarios 5-6'!$C$2:$C$105=""All"",'Data Scenarios 5-6'!$D$2:$D$105=""Standard Deviation"")"),0.0685356847998515)</f>
        <v>0.0685356847998515</v>
      </c>
      <c r="BU11" s="71" t="n">
        <f aca="false">ABS(I11)*SQRT((BQ11/F11)^2+(BR11/G11)^2+2*BS11/(F11*G11))</f>
        <v>0.0177937221942847</v>
      </c>
      <c r="BV11" s="47" t="n">
        <f aca="false">IFERROR(__xludf.dummyfunction("FILTER(FILTER('Data Scenarios 5-6'!$A$2:$CE$105,'Data Scenarios 5-6'!$A$1:$CE$1=""V_LAPTOP_6_OUTPUT""),'Data Scenarios 5-6'!$B$2:$B$105=$A11,'Data Scenarios 5-6'!$C$2:$C$105=""All"",'Data Scenarios 5-6'!$D$2:$D$105=""Standard Deviation"")"),0.00917657478724325)</f>
        <v>0.00917657478724325</v>
      </c>
      <c r="BW11" s="38" t="n">
        <f aca="false">IFERROR(__xludf.dummyfunction("FILTER(FILTER('Data Scenarios 5-6'!$A$2:$CE$105,'Data Scenarios 5-6'!$A$1:$CE$1=""I_LAPTOP_6_OUTPUT""),'Data Scenarios 5-6'!$B$2:$B$105=$A11,'Data Scenarios 5-6'!$C$2:$C$105=""All"",'Data Scenarios 5-6'!$D$2:$D$105=""Standard Deviation"")"),0.0141433811682817)</f>
        <v>0.0141433811682817</v>
      </c>
      <c r="BX11" s="72" t="n">
        <f aca="false">IFERROR(__xludf.dummyfunction("FILTER(FILTER('Data Scenarios 5-6'!$A$2:$CE$105,'Data Scenarios 5-6'!$A$1:$CE$1=""V_LAPTOP_6_OUTPUT * I_LAPTOP_6_OUTPUT""),'Data Scenarios 5-6'!$B$2:$B$105=$A11,'Data Scenarios 5-6'!$C$2:$C$105=""All"",'Data Scenarios 5-6'!$D$2:$D$105=""Covariance"")"),0.00000232466036100533)</f>
        <v>2.32466036100533E-006</v>
      </c>
      <c r="BY11" s="65" t="n">
        <f aca="false">IFERROR(__xludf.dummyfunction("FILTER(FILTER('Data Scenarios 5-6'!$A$2:$CE$105,'Data Scenarios 5-6'!$A$1:$CE$1=""P_LAPTOP_6_OUTPUT""),'Data Scenarios 5-6'!$B$2:$B$105=$A11,'Data Scenarios 5-6'!$C$2:$C$105=""All"",'Data Scenarios 5-6'!$D$2:$D$105=""Standard Deviation"")"),0.291716562957384)</f>
        <v>0.291716562957384</v>
      </c>
      <c r="BZ11" s="73" t="n">
        <f aca="false">ABS(M11)*SQRT((BV11/J11)^2+(BW11/K11)^2+2*BX11/(J11*K11))</f>
        <v>0.26052689943558</v>
      </c>
      <c r="CA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B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C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D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E11" s="73" t="n">
        <f aca="false">ABS(Q11)*SQRT((CA11/N11)^2+(CB11/O11)^2+2*CC11/(N11*O11))</f>
        <v>0.530702700585418</v>
      </c>
      <c r="CF11" s="47" t="n">
        <f aca="false">IFERROR(__xludf.dummyfunction("FILTER(FILTER('Data Scenarios 5-6'!$A$2:$CE$105,'Data Scenarios 5-6'!$A$1:$CE$1=""V_LED_2""),'Data Scenarios 5-6'!$B$2:$B$105=$A11,'Data Scenarios 5-6'!$C$2:$C$105=""All"",'Data Scenarios 5-6'!$D$2:$D$105=""Standard Deviation"")"),0.00213330515443593)</f>
        <v>0.00213330515443593</v>
      </c>
      <c r="CG11" s="38" t="n">
        <f aca="false">IFERROR(__xludf.dummyfunction("FILTER(FILTER('Data Scenarios 5-6'!$A$2:$CE$105,'Data Scenarios 5-6'!$A$1:$CE$1=""I_LED_2""),'Data Scenarios 5-6'!$B$2:$B$105=$A11,'Data Scenarios 5-6'!$C$2:$C$105=""All"",'Data Scenarios 5-6'!$D$2:$D$105=""Standard Deviation"")"),0.0237173056131005)</f>
        <v>0.0237173056131005</v>
      </c>
      <c r="CH11" s="70" t="n">
        <f aca="false">IFERROR(__xludf.dummyfunction("FILTER(FILTER('Data Scenarios 5-6'!$A$2:$CE$105,'Data Scenarios 5-6'!$A$1:$CE$1=""V_LED_2 * I_LED_2""),'Data Scenarios 5-6'!$B$2:$B$105=$A11,'Data Scenarios 5-6'!$C$2:$C$105=""All"",'Data Scenarios 5-6'!$D$2:$D$105=""Covariance"")"),0.0000597031352924308)</f>
        <v>5.97031352924308E-005</v>
      </c>
      <c r="CI11" s="65" t="n">
        <f aca="false">IFERROR(__xludf.dummyfunction("FILTER(FILTER('Data Scenarios 5-6'!$A$2:$CE$105,'Data Scenarios 5-6'!$A$1:$CE$1=""P_LED_2""),'Data Scenarios 5-6'!$B$2:$B$105=$A11,'Data Scenarios 5-6'!$C$2:$C$105=""All"",'Data Scenarios 5-6'!$D$2:$D$105=""Standard Deviation"")"),0.57191135011639)</f>
        <v>0.57191135011639</v>
      </c>
      <c r="CJ11" s="73" t="n">
        <f aca="false">ABS(U11)*SQRT((CF11/R11)^2+(CG11/S11)^2+2*CH11/(R11*S11))</f>
        <v>0.577544366318561</v>
      </c>
      <c r="CK11" s="47" t="n">
        <f aca="false">IFERROR(__xludf.dummyfunction("FILTER(FILTER('Data Scenarios 5-6'!$A$2:$CE$105,'Data Scenarios 5-6'!$A$1:$CE$1=""V_LED_1""),'Data Scenarios 5-6'!$B$2:$B$105=$A11,'Data Scenarios 5-6'!$C$2:$C$105=""All"",'Data Scenarios 5-6'!$D$2:$D$105=""Standard Deviation"")"),0.0057428088397896)</f>
        <v>0.0057428088397896</v>
      </c>
      <c r="CL11" s="38" t="n">
        <f aca="false">IFERROR(__xludf.dummyfunction("FILTER(FILTER('Data Scenarios 5-6'!$A$2:$CE$105,'Data Scenarios 5-6'!$A$1:$CE$1=""I_LED_1""),'Data Scenarios 5-6'!$B$2:$B$105=$A11,'Data Scenarios 5-6'!$C$2:$C$105=""All"",'Data Scenarios 5-6'!$D$2:$D$105=""Standard Deviation"")"),0.0220108902231945)</f>
        <v>0.0220108902231945</v>
      </c>
      <c r="CM11" s="70" t="n">
        <f aca="false">IFERROR(__xludf.dummyfunction("FILTER(FILTER('Data Scenarios 5-6'!$A$2:$CE$105,'Data Scenarios 5-6'!$A$1:$CE$1=""V_LED_1 * I_LED_1""),'Data Scenarios 5-6'!$B$2:$B$105=$A11,'Data Scenarios 5-6'!$C$2:$C$105=""All"",'Data Scenarios 5-6'!$D$2:$D$105=""Covariance"")"),0.000030388248858608)</f>
        <v>3.0388248858608E-005</v>
      </c>
      <c r="CN11" s="65" t="n">
        <f aca="false">IFERROR(__xludf.dummyfunction("FILTER(FILTER('Data Scenarios 5-6'!$A$2:$CE$105,'Data Scenarios 5-6'!$A$1:$CE$1=""P_LED_1""),'Data Scenarios 5-6'!$B$2:$B$105=$A11,'Data Scenarios 5-6'!$C$2:$C$105=""All"",'Data Scenarios 5-6'!$D$2:$D$105=""Standard Deviation"")"),0.522512587385188)</f>
        <v>0.522512587385188</v>
      </c>
      <c r="CO11" s="73" t="n">
        <f aca="false">ABS(Y11)*SQRT((CK11/V11)^2+(CL11/W11)^2+2*CM11/(V11*W11))</f>
        <v>0.534933491184418</v>
      </c>
      <c r="CP11" s="50" t="n">
        <f aca="false">IFERROR(__xludf.dummyfunction("FILTER(FILTER('Data Scenarios 5-6'!$A$2:$CE$105,'Data Scenarios 5-6'!$A$1:$CE$1=""V_RESISTOR_1A""),'Data Scenarios 5-6'!$B$2:$B$105=$A11,'Data Scenarios 5-6'!$C$2:$C$105=""All"",'Data Scenarios 5-6'!$D$2:$D$105=""Standard Deviation"")"),0.00100637799704718)</f>
        <v>0.00100637799704718</v>
      </c>
      <c r="CQ11" s="40" t="n">
        <v>0.045</v>
      </c>
      <c r="CR11" s="50" t="n">
        <f aca="false">IFERROR(__xludf.dummyfunction("FILTER(FILTER('Data Scenarios 5-6'!$A$2:$CE$105,'Data Scenarios 5-6'!$A$1:$CE$1=""P_RESISTOR_1A""),'Data Scenarios 5-6'!$B$2:$B$105=$A11,'Data Scenarios 5-6'!$C$2:$C$105=""All"",'Data Scenarios 5-6'!$D$2:$D$105=""Standard Deviation"")"),0.00703690824630632)</f>
        <v>0.00703690824630632</v>
      </c>
      <c r="CS11" s="73" t="n">
        <f aca="false">SQRT(CP11^2*(2*Z11/AA11)^2+CQ11^2*(Z11^2/AA11^2)^2)</f>
        <v>0.550561232547743</v>
      </c>
      <c r="CT11" s="48" t="n">
        <f aca="false">IFERROR(__xludf.dummyfunction("FILTER(FILTER('Data Scenarios 5-6'!$A$2:$CE$105,'Data Scenarios 5-6'!$A$1:$CE$1=""V_RESISTOR_1B""),'Data Scenarios 5-6'!$B$2:$B$105=$A11,'Data Scenarios 5-6'!$C$2:$C$105=""All"",'Data Scenarios 5-6'!$D$2:$D$105=""Standard Deviation"")"),0.000395807001667831)</f>
        <v>0.000395807001667831</v>
      </c>
      <c r="CU11" s="40" t="n">
        <v>0.029</v>
      </c>
      <c r="CV11" s="50" t="n">
        <f aca="false">IFERROR(__xludf.dummyfunction("FILTER(FILTER('Data Scenarios 5-6'!$A$2:$CE$105,'Data Scenarios 5-6'!$A$1:$CE$1=""P_RESISTOR_1B""),'Data Scenarios 5-6'!$B$2:$B$105=$A11,'Data Scenarios 5-6'!$C$2:$C$105=""All"",'Data Scenarios 5-6'!$D$2:$D$105=""Standard Deviation"")"),0.00276141544802918)</f>
        <v>0.00276141544802918</v>
      </c>
      <c r="CW11" s="73" t="n">
        <f aca="false">SQRT(CT11^2*(2*AD11/AE11)^2+CU11^2*(AD11^2/AE11^2)^2)</f>
        <v>0.352898297043375</v>
      </c>
      <c r="CX11" s="48" t="n">
        <f aca="false">IFERROR(__xludf.dummyfunction("FILTER(FILTER('Data Scenarios 5-6'!$A$2:$CE$105,'Data Scenarios 5-6'!$A$1:$CE$1=""V_RESISTOR_1C""),'Data Scenarios 5-6'!$B$2:$B$105=$A11,'Data Scenarios 5-6'!$C$2:$C$105=""All"",'Data Scenarios 5-6'!$D$2:$D$105=""Standard Deviation"")"),0.00019210371890849)</f>
        <v>0.00019210371890849</v>
      </c>
      <c r="CY11" s="40" t="n">
        <v>0.029</v>
      </c>
      <c r="CZ11" s="50" t="n">
        <f aca="false">IFERROR(__xludf.dummyfunction("FILTER(FILTER('Data Scenarios 5-6'!$A$2:$CE$105,'Data Scenarios 5-6'!$A$1:$CE$1=""P_RESISTOR_1C""),'Data Scenarios 5-6'!$B$2:$B$105=$A11,'Data Scenarios 5-6'!$C$2:$C$105=""All"",'Data Scenarios 5-6'!$D$2:$D$105=""Standard Deviation"")"),0.00135106221557261)</f>
        <v>0.00135106221557261</v>
      </c>
      <c r="DA11" s="73" t="n">
        <f aca="false">SQRT(CX11^2*(2*AH11/AI11)^2+CY11^2*(AH11^2/AI11^2)^2)</f>
        <v>0.358508262236648</v>
      </c>
      <c r="DB11" s="48" t="n">
        <f aca="false">IFERROR(__xludf.dummyfunction("FILTER(FILTER('Data Scenarios 5-6'!$A$2:$CE$105,'Data Scenarios 5-6'!$A$1:$CE$1=""V_RESISTOR_1D""),'Data Scenarios 5-6'!$B$2:$B$105=$A11,'Data Scenarios 5-6'!$C$2:$C$105=""All"",'Data Scenarios 5-6'!$D$2:$D$105=""Standard Deviation"")"),0.000317543143323351)</f>
        <v>0.000317543143323351</v>
      </c>
      <c r="DC11" s="40" t="n">
        <v>0.049</v>
      </c>
      <c r="DD11" s="50" t="n">
        <f aca="false">IFERROR(__xludf.dummyfunction("FILTER(FILTER('Data Scenarios 5-6'!$A$2:$CE$105,'Data Scenarios 5-6'!$A$1:$CE$1=""P_RESISTOR_1D""),'Data Scenarios 5-6'!$B$2:$B$105=$A11,'Data Scenarios 5-6'!$C$2:$C$105=""All"",'Data Scenarios 5-6'!$D$2:$D$105=""Standard Deviation"")"),0.00213363857288591)</f>
        <v>0.00213363857288591</v>
      </c>
      <c r="DE11" s="73" t="n">
        <f aca="false">SQRT(DB11^2*(2*AL11/AM11)^2+DC11^2*(AL11^2/AM11^2)^2)</f>
        <v>0.553219149661226</v>
      </c>
      <c r="DF11" s="48" t="n">
        <f aca="false">IFERROR(__xludf.dummyfunction("FILTER(FILTER('Data Scenarios 5-6'!$A$2:$CE$105,'Data Scenarios 5-6'!$A$1:$CE$1=""V_RESISTOR_1E""),'Data Scenarios 5-6'!$B$2:$B$105=$A11,'Data Scenarios 5-6'!$C$2:$C$105=""All"",'Data Scenarios 5-6'!$D$2:$D$105=""Standard Deviation"")"),0.000543715712350015)</f>
        <v>0.000543715712350015</v>
      </c>
      <c r="DG11" s="40" t="n">
        <v>0.036</v>
      </c>
      <c r="DH11" s="50" t="n">
        <f aca="false">IFERROR(__xludf.dummyfunction("FILTER(FILTER('Data Scenarios 5-6'!$A$2:$CE$105,'Data Scenarios 5-6'!$A$1:$CE$1=""P_RESISTOR_1E""),'Data Scenarios 5-6'!$B$2:$B$105=$A11,'Data Scenarios 5-6'!$C$2:$C$105=""All"",'Data Scenarios 5-6'!$D$2:$D$105=""Standard Deviation"")"),0.00373431319335869)</f>
        <v>0.00373431319335869</v>
      </c>
      <c r="DI11" s="73" t="n">
        <f aca="false">SQRT(DF11^2*(2*AP11/AQ11)^2+DG11^2*(AP11^2/AQ11^2)^2)</f>
        <v>0.42456828471909</v>
      </c>
      <c r="DJ11" s="50" t="n">
        <f aca="false">IFERROR(__xludf.dummyfunction("FILTER(FILTER('Data Scenarios 5-6'!$A$2:$CE$105,'Data Scenarios 5-6'!$A$1:$CE$1=""V_RESISTOR_1F""),'Data Scenarios 5-6'!$B$2:$B$105=$A11,'Data Scenarios 5-6'!$C$2:$C$105=""All"",'Data Scenarios 5-6'!$D$2:$D$105=""Standard Deviation"")"),0.00127859377630813)</f>
        <v>0.00127859377630813</v>
      </c>
      <c r="DK11" s="40" t="n">
        <v>0.067</v>
      </c>
      <c r="DL11" s="50" t="n">
        <f aca="false">IFERROR(__xludf.dummyfunction("FILTER(FILTER('Data Scenarios 5-6'!$A$2:$CE$105,'Data Scenarios 5-6'!$A$1:$CE$1=""P_RESISTOR_1F""),'Data Scenarios 5-6'!$B$2:$B$105=$A11,'Data Scenarios 5-6'!$C$2:$C$105=""All"",'Data Scenarios 5-6'!$D$2:$D$105=""Standard Deviation"")"),0.00834560485266945)</f>
        <v>0.00834560485266945</v>
      </c>
      <c r="DM11" s="73" t="n">
        <f aca="false">SQRT(DJ11^2*(2*AT11/AU11)^2+DK11^2*(AT11^2/AU11^2)^2)</f>
        <v>0.713093123594581</v>
      </c>
      <c r="DN11" s="50" t="n">
        <f aca="false">IFERROR(__xludf.dummyfunction("FILTER(FILTER('Data Scenarios 5-6'!$A$2:$CE$105,'Data Scenarios 5-6'!$A$1:$CE$1=""V_RESISTOR_1G""),'Data Scenarios 5-6'!$B$2:$B$105=$A11,'Data Scenarios 5-6'!$C$2:$C$105=""All"",'Data Scenarios 5-6'!$D$2:$D$105=""Standard Deviation"")"),0.00152750504057433)</f>
        <v>0.00152750504057433</v>
      </c>
      <c r="DO11" s="40" t="n">
        <v>0.037</v>
      </c>
      <c r="DP11" s="38" t="n">
        <f aca="false">IFERROR(__xludf.dummyfunction("FILTER(FILTER('Data Scenarios 5-6'!$A$2:$CE$105,'Data Scenarios 5-6'!$A$1:$CE$1=""P_RESISTOR_1G""),'Data Scenarios 5-6'!$B$2:$B$105=$A11,'Data Scenarios 5-6'!$C$2:$C$105=""All"",'Data Scenarios 5-6'!$D$2:$D$105=""Standard Deviation"")"),0.0102336588600804)</f>
        <v>0.0102336588600804</v>
      </c>
      <c r="DQ11" s="73" t="n">
        <f aca="false">SQRT(DN11^2*(2*AX11/AY11)^2+DO11^2*(AX11^2/AY11^2)^2)</f>
        <v>0.415522288177011</v>
      </c>
      <c r="DR11" s="57" t="n">
        <f aca="false">IFERROR(__xludf.dummyfunction("FILTER(FILTER('Data Scenarios 5-6'!$A$2:$CE$105,'Data Scenarios 5-6'!$A$1:$CE$1=""P_In""),'Data Scenarios 5-6'!$B$2:$B$105=$A11,'Data Scenarios 5-6'!$C$2:$C$105=""All"",'Data Scenarios 5-6'!$D$2:$D$105=""Standard Deviation"")"),1.82257011114439)</f>
        <v>1.82257011114439</v>
      </c>
      <c r="DS11" s="57" t="n">
        <f aca="false">IFERROR(__xludf.dummyfunction("FILTER(FILTER('Data Scenarios 5-6'!$A$2:$CE$105,'Data Scenarios 5-6'!$A$1:$CE$1=""P_Secondary""),'Data Scenarios 5-6'!$B$2:$B$105=$A11,'Data Scenarios 5-6'!$C$2:$C$105=""All"",'Data Scenarios 5-6'!$D$2:$D$105=""Standard Deviation"")"),2.39245005795236)</f>
        <v>2.39245005795236</v>
      </c>
      <c r="DT11" s="45" t="n">
        <f aca="false">IFERROR(__xludf.dummyfunction("FILTER(FILTER('Data Scenarios 5-6'!$A$2:$CE$105,'Data Scenarios 5-6'!$A$1:$CE$1=""P_Out""),'Data Scenarios 5-6'!$B$2:$B$105=$A11,'Data Scenarios 5-6'!$C$2:$C$105=""All"",'Data Scenarios 5-6'!$D$2:$D$105=""Standard Deviation"")"),1.3347849393427)</f>
        <v>1.3347849393427</v>
      </c>
      <c r="DU11" s="75" t="n">
        <f aca="false">SQRT(BO11^2+BT11^2+BY11^2+CD11^2+CI11^2+CN11^2+CS11^2+CW11^2+DA11^2+DE11^2+DI11^2+DM11^2+DQ11^2)</f>
        <v>1.64264050337024</v>
      </c>
      <c r="DV11" s="74" t="n">
        <f aca="false">IFERROR(__xludf.dummyfunction("FILTER(FILTER('Data Scenarios 5-6'!$A$2:$CE$105,'Data Scenarios 5-6'!$A$1:$CE$1=""P_TransformerLoss""),'Data Scenarios 5-6'!$B$2:$B$105=$A11,'Data Scenarios 5-6'!$C$2:$C$105=""All"",'Data Scenarios 5-6'!$D$2:$D$105=""Standard Deviation"")"),0.570919017364835)</f>
        <v>0.570919017364835</v>
      </c>
      <c r="DW11" s="75" t="n">
        <f aca="false">SQRT(DR11^2+DS11^2)</f>
        <v>3.00758692140944</v>
      </c>
      <c r="DX11" s="41" t="n">
        <f aca="false">IFERROR(__xludf.dummyfunction("FILTER(FILTER('Data Scenarios 5-6'!$A$2:$CE$105,'Data Scenarios 5-6'!$A$1:$CE$1=""P_ConverterLoss""),'Data Scenarios 5-6'!$B$2:$B$105=$A11,'Data Scenarios 5-6'!$C$2:$C$105=""All"",'Data Scenarios 5-6'!$D$2:$D$105=""Standard Deviation"")"),3.70509569172772)</f>
        <v>3.70509569172772</v>
      </c>
      <c r="DY11" s="75" t="n">
        <f aca="false">SQRT(DS11^2+MAX(DT11:DU11)^2)</f>
        <v>2.90208289046138</v>
      </c>
      <c r="DZ11" s="41" t="n">
        <f aca="false">IFERROR(__xludf.dummyfunction("FILTER(FILTER('Data Scenarios 5-6'!$A$2:$CE$105,'Data Scenarios 5-6'!$A$1:$CE$1=""P_SystemLoss""),'Data Scenarios 5-6'!$B$2:$B$105=$A11,'Data Scenarios 5-6'!$C$2:$C$105=""All"",'Data Scenarios 5-6'!$D$2:$D$105=""Standard Deviation"")"),3.1402207636002)</f>
        <v>3.1402207636002</v>
      </c>
      <c r="EA11" s="75" t="n">
        <f aca="false">SQRT(DR11^2+MAX(DT11:DU11)^2)</f>
        <v>2.45357486809539</v>
      </c>
      <c r="EB11" s="155" t="n">
        <v>1094.21414644021</v>
      </c>
      <c r="EC11" s="156" t="n">
        <v>996.991674977301</v>
      </c>
      <c r="ED11" s="156" t="n">
        <v>97.2224714629112</v>
      </c>
      <c r="EE11" s="156" t="n">
        <v>114.248674977301</v>
      </c>
      <c r="EF11" s="156" t="n">
        <v>211.471146440212</v>
      </c>
      <c r="EG11" s="45" t="n">
        <f aca="false">EB11-BB11</f>
        <v>42.47668571799</v>
      </c>
      <c r="EH11" s="65" t="n">
        <f aca="false">TINV(0.1,2)*DR11/SQRT(3)</f>
        <v>3.07258795207927</v>
      </c>
      <c r="EI11" s="66" t="n">
        <f aca="false">EG11/BB11</f>
        <v>0.0403871567803828</v>
      </c>
      <c r="EJ11" s="67" t="n">
        <f aca="false">EH11/BB11</f>
        <v>0.00292144006163796</v>
      </c>
      <c r="EK11" s="45" t="n">
        <f aca="false">EC11-BC11</f>
        <v>21.801380532857</v>
      </c>
      <c r="EL11" s="65" t="n">
        <f aca="false">TINV(0.1,2)*DS11/SQRT(3)</f>
        <v>4.03332260255277</v>
      </c>
      <c r="EM11" s="66" t="n">
        <f aca="false">EK11/BC11</f>
        <v>0.0223560269796133</v>
      </c>
      <c r="EN11" s="67" t="n">
        <f aca="false">EL11/BC11</f>
        <v>0.00413593390493136</v>
      </c>
      <c r="EO11" s="45" t="n">
        <f aca="false">ED11-BF11</f>
        <v>20.6753051851335</v>
      </c>
      <c r="EP11" s="65" t="n">
        <f aca="false">TINV(0.1,2)*DV11/SQRT(3)</f>
        <v>0.962486372206921</v>
      </c>
      <c r="EQ11" s="66" t="n">
        <f aca="false">EO11/BF11</f>
        <v>0.270098897065713</v>
      </c>
      <c r="ER11" s="66" t="n">
        <f aca="false">EP11/BF11</f>
        <v>0.0125737688148273</v>
      </c>
      <c r="ES11" s="45" t="n">
        <f aca="false">EE11-BH11</f>
        <v>21.8015584898544</v>
      </c>
      <c r="ET11" s="65" t="n">
        <f aca="false">TINV(0.1,2)*MAX(DX11,DY11)/SQRT(3)</f>
        <v>6.24625209976436</v>
      </c>
      <c r="EU11" s="66" t="n">
        <f aca="false">ES11/BH11</f>
        <v>0.235827349929457</v>
      </c>
      <c r="EV11" s="67" t="n">
        <f aca="false">ET11/BH11</f>
        <v>0.0675656779474841</v>
      </c>
      <c r="EW11" s="45" t="n">
        <f aca="false">EF11-BJ11</f>
        <v>42.476863674988</v>
      </c>
      <c r="EX11" s="65" t="n">
        <f aca="false">TINV(0.1,2)*MAX(DZ11,EA11)/SQRT(3)</f>
        <v>5.29395518235993</v>
      </c>
      <c r="EY11" s="66" t="n">
        <f aca="false">EW11/BJ11</f>
        <v>0.251350891757677</v>
      </c>
      <c r="EZ11" s="66" t="n">
        <f aca="false">EX11/BJ11</f>
        <v>0.03132623835396</v>
      </c>
    </row>
    <row r="12" customFormat="false" ht="12.75" hidden="false" customHeight="false" outlineLevel="0" collapsed="false">
      <c r="A12" s="37"/>
      <c r="E12" s="83"/>
      <c r="J12" s="84"/>
      <c r="N12" s="84"/>
      <c r="R12" s="84"/>
      <c r="V12" s="84"/>
      <c r="Z12" s="84"/>
      <c r="AA12" s="55"/>
      <c r="AD12" s="84"/>
      <c r="AE12" s="55"/>
      <c r="AH12" s="84"/>
      <c r="AI12" s="55"/>
      <c r="AL12" s="84"/>
      <c r="AM12" s="55"/>
      <c r="AP12" s="84"/>
      <c r="AQ12" s="55"/>
      <c r="AT12" s="84"/>
      <c r="AU12" s="55"/>
      <c r="AX12" s="84"/>
      <c r="AY12" s="55"/>
      <c r="BB12" s="85"/>
      <c r="BC12" s="84"/>
      <c r="BD12" s="84"/>
      <c r="BF12" s="84"/>
      <c r="BL12" s="84"/>
      <c r="BP12" s="86"/>
      <c r="BV12" s="84"/>
      <c r="CA12" s="84"/>
      <c r="CF12" s="84"/>
      <c r="CK12" s="84"/>
      <c r="CP12" s="84"/>
      <c r="CS12" s="86"/>
      <c r="CT12" s="84"/>
      <c r="CW12" s="86"/>
      <c r="CX12" s="84"/>
      <c r="DA12" s="86"/>
      <c r="DB12" s="84"/>
      <c r="DE12" s="86"/>
      <c r="DF12" s="84"/>
      <c r="DI12" s="86"/>
      <c r="DJ12" s="84"/>
      <c r="DM12" s="86"/>
      <c r="DN12" s="84"/>
      <c r="DQ12" s="86"/>
      <c r="DR12" s="85"/>
      <c r="DS12" s="85"/>
      <c r="DT12" s="84"/>
      <c r="DV12" s="84"/>
      <c r="DW12" s="157"/>
      <c r="EB12" s="84"/>
      <c r="EG12" s="84"/>
      <c r="EK12" s="84"/>
      <c r="EO12" s="84"/>
      <c r="ES12" s="84"/>
      <c r="EW12" s="84"/>
    </row>
    <row r="13" customFormat="false" ht="12.75" hidden="false" customHeight="false" outlineLevel="0" collapsed="false">
      <c r="A13" s="37"/>
      <c r="E13" s="83"/>
      <c r="J13" s="84"/>
      <c r="N13" s="84"/>
      <c r="R13" s="84"/>
      <c r="V13" s="84"/>
      <c r="Z13" s="84"/>
      <c r="AD13" s="84"/>
      <c r="AH13" s="84"/>
      <c r="AL13" s="84"/>
      <c r="AP13" s="84"/>
      <c r="AT13" s="84"/>
      <c r="AX13" s="84"/>
      <c r="BB13" s="85"/>
      <c r="BC13" s="84"/>
      <c r="BD13" s="84"/>
      <c r="BF13" s="84"/>
      <c r="BL13" s="84"/>
      <c r="BP13" s="86"/>
      <c r="BV13" s="84"/>
      <c r="CA13" s="84"/>
      <c r="CF13" s="84"/>
      <c r="CK13" s="84"/>
      <c r="CP13" s="84"/>
      <c r="CS13" s="86"/>
      <c r="CT13" s="84"/>
      <c r="CW13" s="86"/>
      <c r="CX13" s="84"/>
      <c r="DA13" s="86"/>
      <c r="DB13" s="84"/>
      <c r="DE13" s="86"/>
      <c r="DF13" s="84"/>
      <c r="DI13" s="86"/>
      <c r="DJ13" s="84"/>
      <c r="DM13" s="86"/>
      <c r="DN13" s="84"/>
      <c r="DQ13" s="86"/>
      <c r="DR13" s="85"/>
      <c r="DS13" s="85"/>
      <c r="DT13" s="84"/>
      <c r="DV13" s="84"/>
      <c r="DW13" s="157"/>
      <c r="EB13" s="84"/>
      <c r="EG13" s="84"/>
      <c r="EK13" s="84"/>
      <c r="EO13" s="84"/>
      <c r="ES13" s="84"/>
      <c r="EW13" s="84"/>
    </row>
    <row r="14" customFormat="false" ht="12.75" hidden="false" customHeight="false" outlineLevel="0" collapsed="false">
      <c r="A14" s="37"/>
      <c r="E14" s="83"/>
      <c r="J14" s="84"/>
      <c r="N14" s="84"/>
      <c r="R14" s="84"/>
      <c r="V14" s="84"/>
      <c r="Z14" s="84"/>
      <c r="AD14" s="84"/>
      <c r="AH14" s="84"/>
      <c r="AL14" s="84"/>
      <c r="AP14" s="84"/>
      <c r="AT14" s="84"/>
      <c r="AX14" s="84"/>
      <c r="BB14" s="85"/>
      <c r="BC14" s="84"/>
      <c r="BD14" s="84"/>
      <c r="BF14" s="84"/>
      <c r="BL14" s="84"/>
      <c r="BP14" s="86"/>
      <c r="BV14" s="84"/>
      <c r="CA14" s="84"/>
      <c r="CF14" s="84"/>
      <c r="CK14" s="84"/>
      <c r="CP14" s="84"/>
      <c r="CS14" s="86"/>
      <c r="CT14" s="84"/>
      <c r="CW14" s="86"/>
      <c r="CX14" s="84"/>
      <c r="DA14" s="86"/>
      <c r="DB14" s="84"/>
      <c r="DE14" s="86"/>
      <c r="DF14" s="84"/>
      <c r="DI14" s="86"/>
      <c r="DJ14" s="84"/>
      <c r="DM14" s="86"/>
      <c r="DN14" s="84"/>
      <c r="DQ14" s="86"/>
      <c r="DR14" s="85"/>
      <c r="DS14" s="85"/>
      <c r="DT14" s="84"/>
      <c r="DV14" s="84"/>
      <c r="DW14" s="157"/>
      <c r="EB14" s="84"/>
      <c r="EG14" s="84"/>
      <c r="EK14" s="84"/>
      <c r="EO14" s="84"/>
      <c r="ES14" s="84"/>
      <c r="EW14" s="84"/>
    </row>
    <row r="15" customFormat="false" ht="12.75" hidden="false" customHeight="false" outlineLevel="0" collapsed="false">
      <c r="A15" s="37"/>
      <c r="B15" s="158" t="n">
        <v>5.1</v>
      </c>
      <c r="C15" s="158" t="n">
        <v>5.2</v>
      </c>
      <c r="D15" s="158" t="n">
        <v>5.3</v>
      </c>
      <c r="E15" s="158" t="n">
        <v>5.4</v>
      </c>
      <c r="F15" s="158" t="n">
        <v>6.1</v>
      </c>
      <c r="G15" s="158" t="n">
        <v>6.2</v>
      </c>
      <c r="H15" s="158" t="n">
        <v>6.3</v>
      </c>
      <c r="I15" s="158" t="n">
        <v>6.4</v>
      </c>
      <c r="J15" s="84"/>
      <c r="N15" s="84"/>
      <c r="R15" s="84"/>
      <c r="V15" s="84"/>
      <c r="Z15" s="84"/>
      <c r="AD15" s="84"/>
      <c r="AH15" s="84"/>
      <c r="AL15" s="84"/>
      <c r="AP15" s="84"/>
      <c r="AT15" s="84"/>
      <c r="AX15" s="84"/>
      <c r="BB15" s="85"/>
      <c r="BC15" s="84"/>
      <c r="BD15" s="84"/>
      <c r="BF15" s="84"/>
      <c r="BL15" s="84"/>
      <c r="BP15" s="86"/>
      <c r="BV15" s="84"/>
      <c r="CA15" s="84"/>
      <c r="CF15" s="84"/>
      <c r="CK15" s="84"/>
      <c r="CP15" s="84"/>
      <c r="CS15" s="86"/>
      <c r="CT15" s="84"/>
      <c r="CW15" s="86"/>
      <c r="CX15" s="84"/>
      <c r="DA15" s="86"/>
      <c r="DB15" s="84"/>
      <c r="DE15" s="86"/>
      <c r="DF15" s="84"/>
      <c r="DI15" s="86"/>
      <c r="DJ15" s="84"/>
      <c r="DM15" s="86"/>
      <c r="DN15" s="84"/>
      <c r="DQ15" s="86"/>
      <c r="DR15" s="85"/>
      <c r="DS15" s="85"/>
      <c r="DT15" s="84"/>
      <c r="DV15" s="84"/>
      <c r="DW15" s="157"/>
      <c r="EB15" s="84"/>
      <c r="EG15" s="84"/>
      <c r="EK15" s="84"/>
      <c r="EO15" s="84"/>
      <c r="ES15" s="84"/>
      <c r="EW15" s="84"/>
    </row>
    <row r="16" customFormat="false" ht="12.75" hidden="false" customHeight="false" outlineLevel="0" collapsed="false">
      <c r="A16" s="159" t="s">
        <v>44</v>
      </c>
      <c r="B16" s="142" t="n">
        <f aca="true">OFFSET($D$4, 0, (ROW()-16)*4)</f>
        <v>0.125113069637807</v>
      </c>
      <c r="C16" s="142" t="n">
        <f aca="true">OFFSET($D$5, 0, (ROW()-16)*4)</f>
        <v>5.76585869465231</v>
      </c>
      <c r="D16" s="142" t="n">
        <f aca="true">OFFSET($D$6, 0, (ROW()-16)*4)</f>
        <v>41.9740105357223</v>
      </c>
      <c r="E16" s="142" t="n">
        <f aca="true">OFFSET($D$7, 0, (ROW()-16)*4)</f>
        <v>73.8475094031976</v>
      </c>
      <c r="F16" s="142" t="n">
        <f aca="true">OFFSET($D$8, 0, (ROW()-16)*4)</f>
        <v>0.109269465688724</v>
      </c>
      <c r="G16" s="142" t="n">
        <f aca="true">OFFSET($D$9, 0, (ROW()-16)*4)</f>
        <v>5.92877445356687</v>
      </c>
      <c r="H16" s="142" t="n">
        <f aca="true">OFFSET($D$10, 0, (ROW()-16)*4)</f>
        <v>41.983151379056</v>
      </c>
      <c r="I16" s="142" t="n">
        <f aca="true">OFFSET($D$11, 0, (ROW()-16)*4)</f>
        <v>73.7702086810028</v>
      </c>
      <c r="J16" s="84"/>
      <c r="N16" s="84"/>
      <c r="R16" s="84"/>
      <c r="V16" s="84"/>
      <c r="Z16" s="84"/>
      <c r="AD16" s="84"/>
      <c r="AH16" s="84"/>
      <c r="AL16" s="84"/>
      <c r="AP16" s="84"/>
      <c r="AT16" s="84"/>
      <c r="AX16" s="84"/>
      <c r="BB16" s="85"/>
      <c r="BC16" s="84"/>
      <c r="BD16" s="84"/>
      <c r="BF16" s="84"/>
      <c r="BL16" s="84"/>
      <c r="BP16" s="86"/>
      <c r="BV16" s="84"/>
      <c r="CA16" s="84"/>
      <c r="CF16" s="84"/>
      <c r="CK16" s="84"/>
      <c r="CP16" s="84"/>
      <c r="CS16" s="86"/>
      <c r="CT16" s="84"/>
      <c r="CW16" s="86"/>
      <c r="CX16" s="84"/>
      <c r="DA16" s="86"/>
      <c r="DB16" s="84"/>
      <c r="DE16" s="86"/>
      <c r="DF16" s="84"/>
      <c r="DI16" s="86"/>
      <c r="DJ16" s="84"/>
      <c r="DM16" s="86"/>
      <c r="DN16" s="84"/>
      <c r="DQ16" s="86"/>
      <c r="DR16" s="85"/>
      <c r="DS16" s="85"/>
      <c r="DT16" s="84"/>
      <c r="DV16" s="84"/>
      <c r="DW16" s="157"/>
      <c r="EB16" s="84"/>
      <c r="EG16" s="84"/>
      <c r="EK16" s="84"/>
      <c r="EO16" s="84"/>
      <c r="ES16" s="84"/>
      <c r="EW16" s="84"/>
    </row>
    <row r="17" customFormat="false" ht="12.75" hidden="false" customHeight="false" outlineLevel="0" collapsed="false">
      <c r="A17" s="159" t="s">
        <v>45</v>
      </c>
      <c r="B17" s="142" t="n">
        <f aca="true">OFFSET($D$4, 0, (ROW()-16)*4)</f>
        <v>0.134092618419161</v>
      </c>
      <c r="C17" s="142" t="n">
        <f aca="true">OFFSET($D$5, 0, (ROW()-16)*4)</f>
        <v>6.08840058236651</v>
      </c>
      <c r="D17" s="142" t="n">
        <f aca="true">OFFSET($D$6, 0, (ROW()-16)*4)</f>
        <v>40.4748913431874</v>
      </c>
      <c r="E17" s="142" t="n">
        <f aca="true">OFFSET($D$7, 0, (ROW()-16)*4)</f>
        <v>71.0194337190946</v>
      </c>
      <c r="F17" s="142" t="n">
        <f aca="true">OFFSET($D$8, 0, (ROW()-16)*4)</f>
        <v>0.146210540055371</v>
      </c>
      <c r="G17" s="142" t="n">
        <f aca="true">OFFSET($D$9, 0, (ROW()-16)*4)</f>
        <v>6.02889771445193</v>
      </c>
      <c r="H17" s="142" t="n">
        <f aca="true">OFFSET($D$10, 0, (ROW()-16)*4)</f>
        <v>40.456854739548</v>
      </c>
      <c r="I17" s="142" t="n">
        <f aca="true">OFFSET($D$11, 0, (ROW()-16)*4)</f>
        <v>71.0728917298878</v>
      </c>
      <c r="J17" s="84"/>
      <c r="N17" s="84"/>
      <c r="R17" s="84"/>
      <c r="V17" s="84"/>
      <c r="Z17" s="84"/>
      <c r="AD17" s="84"/>
      <c r="AH17" s="84"/>
      <c r="AL17" s="84"/>
      <c r="AP17" s="84"/>
      <c r="AT17" s="84"/>
      <c r="AX17" s="84"/>
      <c r="BB17" s="85"/>
      <c r="BC17" s="84"/>
      <c r="BD17" s="84"/>
      <c r="BF17" s="84"/>
      <c r="BL17" s="84"/>
      <c r="BP17" s="86"/>
      <c r="BV17" s="84"/>
      <c r="CA17" s="84"/>
      <c r="CF17" s="84"/>
      <c r="CK17" s="84"/>
      <c r="CP17" s="84"/>
      <c r="CS17" s="86"/>
      <c r="CT17" s="84"/>
      <c r="CW17" s="86"/>
      <c r="CX17" s="84"/>
      <c r="DA17" s="86"/>
      <c r="DB17" s="84"/>
      <c r="DE17" s="86"/>
      <c r="DF17" s="84"/>
      <c r="DI17" s="86"/>
      <c r="DJ17" s="84"/>
      <c r="DM17" s="86"/>
      <c r="DN17" s="84"/>
      <c r="DQ17" s="86"/>
      <c r="DR17" s="85"/>
      <c r="DS17" s="85"/>
      <c r="DT17" s="84"/>
      <c r="DV17" s="84"/>
      <c r="DW17" s="157"/>
      <c r="EB17" s="84"/>
      <c r="EG17" s="84"/>
      <c r="EK17" s="84"/>
      <c r="EO17" s="84"/>
      <c r="ES17" s="84"/>
      <c r="EW17" s="84"/>
    </row>
    <row r="18" customFormat="false" ht="12.75" hidden="false" customHeight="false" outlineLevel="0" collapsed="false">
      <c r="A18" s="160" t="s">
        <v>132</v>
      </c>
      <c r="B18" s="142" t="n">
        <f aca="true">OFFSET($D$4, 0, (ROW()-16)*4)</f>
        <v>0.237286439749953</v>
      </c>
      <c r="C18" s="142" t="n">
        <f aca="true">OFFSET($D$5, 0, (ROW()-16)*4)</f>
        <v>6.83505189891562</v>
      </c>
      <c r="D18" s="142" t="n">
        <f aca="true">OFFSET($D$6, 0, (ROW()-16)*4)</f>
        <v>41.4649882127043</v>
      </c>
      <c r="E18" s="142" t="n">
        <f aca="true">OFFSET($D$7, 0, (ROW()-16)*4)</f>
        <v>71.6287077585153</v>
      </c>
      <c r="F18" s="142" t="n">
        <f aca="true">OFFSET($D$8, 0, (ROW()-16)*4)</f>
        <v>0.304209435405914</v>
      </c>
      <c r="G18" s="142" t="n">
        <f aca="true">OFFSET($D$9, 0, (ROW()-16)*4)</f>
        <v>7.0759060351436</v>
      </c>
      <c r="H18" s="142" t="n">
        <f aca="true">OFFSET($D$10, 0, (ROW()-16)*4)</f>
        <v>41.6430753411198</v>
      </c>
      <c r="I18" s="142" t="n">
        <f aca="true">OFFSET($D$11, 0, (ROW()-16)*4)</f>
        <v>71.6583446742351</v>
      </c>
      <c r="J18" s="84"/>
      <c r="N18" s="84"/>
      <c r="R18" s="84"/>
      <c r="V18" s="84"/>
      <c r="Z18" s="84"/>
      <c r="AD18" s="84"/>
      <c r="AH18" s="84"/>
      <c r="AL18" s="84"/>
      <c r="AP18" s="84"/>
      <c r="AT18" s="84"/>
      <c r="AX18" s="84"/>
      <c r="BB18" s="85"/>
      <c r="BC18" s="84"/>
      <c r="BD18" s="84"/>
      <c r="BF18" s="84"/>
      <c r="BL18" s="84"/>
      <c r="BP18" s="86"/>
      <c r="BV18" s="84"/>
      <c r="CA18" s="84"/>
      <c r="CF18" s="84"/>
      <c r="CK18" s="84"/>
      <c r="CP18" s="84"/>
      <c r="CS18" s="86"/>
      <c r="CT18" s="84"/>
      <c r="CW18" s="86"/>
      <c r="CX18" s="84"/>
      <c r="DA18" s="86"/>
      <c r="DB18" s="84"/>
      <c r="DE18" s="86"/>
      <c r="DF18" s="84"/>
      <c r="DI18" s="86"/>
      <c r="DJ18" s="84"/>
      <c r="DM18" s="86"/>
      <c r="DN18" s="84"/>
      <c r="DQ18" s="86"/>
      <c r="DR18" s="85"/>
      <c r="DS18" s="85"/>
      <c r="DT18" s="84"/>
      <c r="DV18" s="84"/>
      <c r="DW18" s="157"/>
      <c r="EB18" s="84"/>
      <c r="EG18" s="84"/>
      <c r="EK18" s="84"/>
      <c r="EO18" s="84"/>
      <c r="ES18" s="84"/>
      <c r="EW18" s="84"/>
    </row>
    <row r="19" customFormat="false" ht="12.75" hidden="false" customHeight="false" outlineLevel="0" collapsed="false">
      <c r="A19" s="160" t="s">
        <v>46</v>
      </c>
      <c r="B19" s="142" t="n">
        <f aca="true">OFFSET($D$4, 0, (ROW()-16)*4)</f>
        <v>3.0672700325E-006</v>
      </c>
      <c r="C19" s="142" t="n">
        <f aca="true">OFFSET($D$5, 0, (ROW()-16)*4)</f>
        <v>31.2541784444444</v>
      </c>
      <c r="D19" s="142" t="n">
        <f aca="true">OFFSET($D$6, 0, (ROW()-16)*4)</f>
        <v>30.1195583611111</v>
      </c>
      <c r="E19" s="142" t="n">
        <f aca="true">OFFSET($D$7, 0, (ROW()-16)*4)</f>
        <v>29.5374696111111</v>
      </c>
      <c r="F19" s="142" t="n">
        <f aca="true">OFFSET($D$8, 0, (ROW()-16)*4)</f>
        <v>-5.50286074722222E-006</v>
      </c>
      <c r="G19" s="142" t="n">
        <f aca="true">OFFSET($D$9, 0, (ROW()-16)*4)</f>
        <v>30.4908779722222</v>
      </c>
      <c r="H19" s="142" t="n">
        <f aca="true">OFFSET($D$10, 0, (ROW()-16)*4)</f>
        <v>30.0200651944444</v>
      </c>
      <c r="I19" s="142" t="n">
        <f aca="true">OFFSET($D$11, 0, (ROW()-16)*4)</f>
        <v>29.1743836666666</v>
      </c>
      <c r="J19" s="84"/>
      <c r="N19" s="84"/>
      <c r="R19" s="84"/>
      <c r="V19" s="84"/>
      <c r="Z19" s="84"/>
      <c r="AD19" s="84"/>
      <c r="AH19" s="84"/>
      <c r="AL19" s="84"/>
      <c r="AP19" s="84"/>
      <c r="AT19" s="84"/>
      <c r="AX19" s="84"/>
      <c r="BB19" s="85"/>
      <c r="BC19" s="84"/>
      <c r="BD19" s="84"/>
      <c r="BF19" s="84"/>
      <c r="BL19" s="84"/>
      <c r="BP19" s="86"/>
      <c r="BV19" s="84"/>
      <c r="CA19" s="84"/>
      <c r="CF19" s="84"/>
      <c r="CK19" s="84"/>
      <c r="CP19" s="84"/>
      <c r="CS19" s="86"/>
      <c r="CT19" s="84"/>
      <c r="CW19" s="86"/>
      <c r="CX19" s="84"/>
      <c r="DA19" s="86"/>
      <c r="DB19" s="84"/>
      <c r="DE19" s="86"/>
      <c r="DF19" s="84"/>
      <c r="DI19" s="86"/>
      <c r="DJ19" s="84"/>
      <c r="DM19" s="86"/>
      <c r="DN19" s="84"/>
      <c r="DQ19" s="86"/>
      <c r="DR19" s="85"/>
      <c r="DS19" s="85"/>
      <c r="DT19" s="84"/>
      <c r="DV19" s="84"/>
      <c r="DW19" s="157"/>
      <c r="EB19" s="84"/>
      <c r="EG19" s="84"/>
      <c r="EK19" s="84"/>
      <c r="EO19" s="84"/>
      <c r="ES19" s="84"/>
      <c r="EW19" s="84"/>
    </row>
    <row r="20" customFormat="false" ht="12.75" hidden="false" customHeight="false" outlineLevel="0" collapsed="false">
      <c r="A20" s="160" t="s">
        <v>47</v>
      </c>
      <c r="B20" s="142" t="n">
        <f aca="true">OFFSET($D$4, 0, (ROW()-16)*4)</f>
        <v>6.33290196461111E-007</v>
      </c>
      <c r="C20" s="142" t="n">
        <f aca="true">OFFSET($D$5, 0, (ROW()-16)*4)</f>
        <v>31.6578885555555</v>
      </c>
      <c r="D20" s="142" t="n">
        <f aca="true">OFFSET($D$6, 0, (ROW()-16)*4)</f>
        <v>29.9678921666666</v>
      </c>
      <c r="E20" s="142" t="n">
        <f aca="true">OFFSET($D$7, 0, (ROW()-16)*4)</f>
        <v>29.9669263888888</v>
      </c>
      <c r="F20" s="142" t="n">
        <f aca="true">OFFSET($D$8, 0, (ROW()-16)*4)</f>
        <v>-5.45612783055555E-006</v>
      </c>
      <c r="G20" s="142" t="n">
        <f aca="true">OFFSET($D$9, 0, (ROW()-16)*4)</f>
        <v>30.3230955277777</v>
      </c>
      <c r="H20" s="142" t="n">
        <f aca="true">OFFSET($D$10, 0, (ROW()-16)*4)</f>
        <v>30.5221061666666</v>
      </c>
      <c r="I20" s="142" t="n">
        <f aca="true">OFFSET($D$11, 0, (ROW()-16)*4)</f>
        <v>29.4245994722222</v>
      </c>
      <c r="J20" s="84"/>
      <c r="N20" s="84"/>
      <c r="R20" s="84"/>
      <c r="V20" s="84"/>
      <c r="Z20" s="84"/>
      <c r="AD20" s="84"/>
      <c r="AH20" s="84"/>
      <c r="AL20" s="84"/>
      <c r="AP20" s="84"/>
      <c r="AT20" s="84"/>
      <c r="AX20" s="84"/>
      <c r="BB20" s="85"/>
      <c r="BC20" s="84"/>
      <c r="BD20" s="84"/>
      <c r="BF20" s="84"/>
      <c r="BL20" s="84"/>
      <c r="BP20" s="86"/>
      <c r="BV20" s="84"/>
      <c r="CA20" s="84"/>
      <c r="CF20" s="84"/>
      <c r="CK20" s="84"/>
      <c r="CP20" s="84"/>
      <c r="CS20" s="86"/>
      <c r="CT20" s="84"/>
      <c r="CW20" s="86"/>
      <c r="CX20" s="84"/>
      <c r="DA20" s="86"/>
      <c r="DB20" s="84"/>
      <c r="DE20" s="86"/>
      <c r="DF20" s="84"/>
      <c r="DI20" s="86"/>
      <c r="DJ20" s="84"/>
      <c r="DM20" s="86"/>
      <c r="DN20" s="84"/>
      <c r="DQ20" s="86"/>
      <c r="DR20" s="85"/>
      <c r="DS20" s="85"/>
      <c r="DT20" s="84"/>
      <c r="DV20" s="84"/>
      <c r="DW20" s="157"/>
      <c r="EB20" s="84"/>
      <c r="EG20" s="84"/>
      <c r="EK20" s="84"/>
      <c r="EO20" s="84"/>
      <c r="ES20" s="84"/>
      <c r="EW20" s="84"/>
    </row>
    <row r="21" customFormat="false" ht="12.75" hidden="false" customHeight="false" outlineLevel="0" collapsed="false">
      <c r="A21" s="160" t="s">
        <v>48</v>
      </c>
      <c r="B21" s="142" t="n">
        <f aca="true">OFFSET($D$4, 0, (ROW()-16)*4)</f>
        <v>-8.58856066666666E-006</v>
      </c>
      <c r="C21" s="142" t="n">
        <f aca="true">OFFSET($D$5, 0, (ROW()-16)*4)</f>
        <v>30.6682995833333</v>
      </c>
      <c r="D21" s="142" t="n">
        <f aca="true">OFFSET($D$6, 0, (ROW()-16)*4)</f>
        <v>30.6129317222222</v>
      </c>
      <c r="E21" s="142" t="n">
        <f aca="true">OFFSET($D$7, 0, (ROW()-16)*4)</f>
        <v>29.9948602222222</v>
      </c>
      <c r="F21" s="142" t="n">
        <f aca="true">OFFSET($D$8, 0, (ROW()-16)*4)</f>
        <v>0.000137599987777777</v>
      </c>
      <c r="G21" s="142" t="n">
        <f aca="true">OFFSET($D$9, 0, (ROW()-16)*4)</f>
        <v>30.5846427222222</v>
      </c>
      <c r="H21" s="142" t="n">
        <f aca="true">OFFSET($D$10, 0, (ROW()-16)*4)</f>
        <v>30.8995021666666</v>
      </c>
      <c r="I21" s="142" t="n">
        <f aca="true">OFFSET($D$11, 0, (ROW()-16)*4)</f>
        <v>29.5486846944444</v>
      </c>
      <c r="J21" s="84"/>
      <c r="N21" s="84"/>
      <c r="R21" s="84"/>
      <c r="V21" s="84"/>
      <c r="Z21" s="84"/>
      <c r="AD21" s="84"/>
      <c r="AH21" s="84"/>
      <c r="AL21" s="84"/>
      <c r="AP21" s="84"/>
      <c r="AT21" s="84"/>
      <c r="AX21" s="84"/>
      <c r="BB21" s="85"/>
      <c r="BC21" s="84"/>
      <c r="BD21" s="84"/>
      <c r="BF21" s="84"/>
      <c r="BL21" s="84"/>
      <c r="BP21" s="86"/>
      <c r="BV21" s="84"/>
      <c r="CA21" s="84"/>
      <c r="CF21" s="84"/>
      <c r="CK21" s="84"/>
      <c r="CP21" s="84"/>
      <c r="CS21" s="86"/>
      <c r="CT21" s="84"/>
      <c r="CW21" s="86"/>
      <c r="CX21" s="84"/>
      <c r="DA21" s="86"/>
      <c r="DB21" s="84"/>
      <c r="DE21" s="86"/>
      <c r="DF21" s="84"/>
      <c r="DI21" s="86"/>
      <c r="DJ21" s="84"/>
      <c r="DM21" s="86"/>
      <c r="DN21" s="84"/>
      <c r="DQ21" s="86"/>
      <c r="DR21" s="85"/>
      <c r="DS21" s="85"/>
      <c r="DT21" s="84"/>
      <c r="DV21" s="84"/>
      <c r="DW21" s="157"/>
      <c r="EB21" s="84"/>
      <c r="EG21" s="84"/>
      <c r="EK21" s="84"/>
      <c r="EO21" s="84"/>
      <c r="ES21" s="84"/>
      <c r="EW21" s="84"/>
    </row>
    <row r="22" customFormat="false" ht="12.75" hidden="false" customHeight="false" outlineLevel="0" collapsed="false">
      <c r="A22" s="160" t="s">
        <v>133</v>
      </c>
      <c r="B22" s="142" t="n">
        <f aca="true">OFFSET($D$4, 0, (ROW()-16)*4)</f>
        <v>4.23962020679012E-031</v>
      </c>
      <c r="C22" s="142" t="n">
        <f aca="true">OFFSET($D$5, 0, (ROW()-16)*4)</f>
        <v>85.7021582403956</v>
      </c>
      <c r="D22" s="142" t="n">
        <f aca="true">OFFSET($D$6, 0, (ROW()-16)*4)</f>
        <v>85.056555835988</v>
      </c>
      <c r="E22" s="142" t="n">
        <f aca="true">OFFSET($D$7, 0, (ROW()-16)*4)</f>
        <v>84.453912645321</v>
      </c>
      <c r="F22" s="142" t="n">
        <f aca="true">OFFSET($D$8, 0, (ROW()-16)*4)</f>
        <v>2.81245138271604E-031</v>
      </c>
      <c r="G22" s="142" t="n">
        <f aca="true">OFFSET($D$9, 0, (ROW()-16)*4)</f>
        <v>85.6285642822093</v>
      </c>
      <c r="H22" s="142" t="n">
        <f aca="true">OFFSET($D$10, 0, (ROW()-16)*4)</f>
        <v>85.0697950118741</v>
      </c>
      <c r="I22" s="142" t="n">
        <f aca="true">OFFSET($D$11, 0, (ROW()-16)*4)</f>
        <v>84.4614382026987</v>
      </c>
      <c r="J22" s="84"/>
      <c r="N22" s="84"/>
      <c r="R22" s="84"/>
      <c r="V22" s="84"/>
      <c r="Z22" s="84"/>
      <c r="AD22" s="84"/>
      <c r="AH22" s="84"/>
      <c r="AL22" s="84"/>
      <c r="AP22" s="84"/>
      <c r="AT22" s="84"/>
      <c r="AX22" s="84"/>
      <c r="BB22" s="85"/>
      <c r="BC22" s="84"/>
      <c r="BD22" s="84"/>
      <c r="BF22" s="84"/>
      <c r="BL22" s="84"/>
      <c r="BP22" s="86"/>
      <c r="BV22" s="84"/>
      <c r="CA22" s="84"/>
      <c r="CF22" s="84"/>
      <c r="CK22" s="84"/>
      <c r="CP22" s="84"/>
      <c r="CS22" s="86"/>
      <c r="CT22" s="84"/>
      <c r="CW22" s="86"/>
      <c r="CX22" s="84"/>
      <c r="DA22" s="86"/>
      <c r="DB22" s="84"/>
      <c r="DE22" s="86"/>
      <c r="DF22" s="84"/>
      <c r="DI22" s="86"/>
      <c r="DJ22" s="84"/>
      <c r="DM22" s="86"/>
      <c r="DN22" s="84"/>
      <c r="DQ22" s="86"/>
      <c r="DR22" s="85"/>
      <c r="DS22" s="85"/>
      <c r="DT22" s="84"/>
      <c r="DV22" s="84"/>
      <c r="DW22" s="157"/>
      <c r="EB22" s="84"/>
      <c r="EG22" s="84"/>
      <c r="EK22" s="84"/>
      <c r="EO22" s="84"/>
      <c r="ES22" s="84"/>
      <c r="EW22" s="84"/>
    </row>
    <row r="23" customFormat="false" ht="12.75" hidden="false" customHeight="false" outlineLevel="0" collapsed="false">
      <c r="A23" s="160" t="s">
        <v>134</v>
      </c>
      <c r="B23" s="142" t="n">
        <f aca="true">OFFSET($D$4, 0, (ROW()-16)*4)</f>
        <v>2.41903031172839E-031</v>
      </c>
      <c r="C23" s="142" t="n">
        <f aca="true">OFFSET($D$5, 0, (ROW()-16)*4)</f>
        <v>1.33536412860895E-027</v>
      </c>
      <c r="D23" s="142" t="n">
        <f aca="true">OFFSET($D$6, 0, (ROW()-16)*4)</f>
        <v>84.9212252486532</v>
      </c>
      <c r="E23" s="142" t="n">
        <f aca="true">OFFSET($D$7, 0, (ROW()-16)*4)</f>
        <v>84.3274419626901</v>
      </c>
      <c r="F23" s="142" t="n">
        <f aca="true">OFFSET($D$8, 0, (ROW()-16)*4)</f>
        <v>1.76831210802469E-031</v>
      </c>
      <c r="G23" s="142" t="n">
        <f aca="true">OFFSET($D$9, 0, (ROW()-16)*4)</f>
        <v>8.98019386595679E-028</v>
      </c>
      <c r="H23" s="142" t="n">
        <f aca="true">OFFSET($D$10, 0, (ROW()-16)*4)</f>
        <v>84.9245900843935</v>
      </c>
      <c r="I23" s="142" t="n">
        <f aca="true">OFFSET($D$11, 0, (ROW()-16)*4)</f>
        <v>84.3279422781948</v>
      </c>
      <c r="J23" s="84"/>
      <c r="N23" s="84"/>
      <c r="R23" s="84"/>
      <c r="V23" s="84"/>
      <c r="Z23" s="84"/>
      <c r="AD23" s="84"/>
      <c r="AH23" s="84"/>
      <c r="AL23" s="84"/>
      <c r="AP23" s="84"/>
      <c r="AT23" s="84"/>
      <c r="AX23" s="84"/>
      <c r="BB23" s="85"/>
      <c r="BC23" s="84"/>
      <c r="BD23" s="84"/>
      <c r="BF23" s="84"/>
      <c r="BL23" s="84"/>
      <c r="BP23" s="86"/>
      <c r="BV23" s="84"/>
      <c r="CA23" s="84"/>
      <c r="CF23" s="84"/>
      <c r="CK23" s="84"/>
      <c r="CP23" s="84"/>
      <c r="CS23" s="86"/>
      <c r="CT23" s="84"/>
      <c r="CW23" s="86"/>
      <c r="CX23" s="84"/>
      <c r="DA23" s="86"/>
      <c r="DB23" s="84"/>
      <c r="DE23" s="86"/>
      <c r="DF23" s="84"/>
      <c r="DI23" s="86"/>
      <c r="DJ23" s="84"/>
      <c r="DM23" s="86"/>
      <c r="DN23" s="84"/>
      <c r="DQ23" s="86"/>
      <c r="DR23" s="85"/>
      <c r="DS23" s="85"/>
      <c r="DT23" s="84"/>
      <c r="DV23" s="84"/>
      <c r="DW23" s="157"/>
      <c r="EB23" s="84"/>
      <c r="EG23" s="84"/>
      <c r="EK23" s="84"/>
      <c r="EO23" s="84"/>
      <c r="ES23" s="84"/>
      <c r="EW23" s="84"/>
    </row>
    <row r="24" customFormat="false" ht="12.75" hidden="false" customHeight="false" outlineLevel="0" collapsed="false">
      <c r="A24" s="160" t="s">
        <v>135</v>
      </c>
      <c r="B24" s="142" t="n">
        <f aca="true">OFFSET($D$4, 0, (ROW()-16)*4)</f>
        <v>9.04418191358024E-032</v>
      </c>
      <c r="C24" s="142" t="n">
        <f aca="true">OFFSET($D$5, 0, (ROW()-16)*4)</f>
        <v>1.13427497916975E-028</v>
      </c>
      <c r="D24" s="142" t="n">
        <f aca="true">OFFSET($D$6, 0, (ROW()-16)*4)</f>
        <v>85.6723190378528</v>
      </c>
      <c r="E24" s="142" t="n">
        <f aca="true">OFFSET($D$7, 0, (ROW()-16)*4)</f>
        <v>85.0868619792069</v>
      </c>
      <c r="F24" s="142" t="n">
        <f aca="true">OFFSET($D$8, 0, (ROW()-16)*4)</f>
        <v>8.6251174074074E-032</v>
      </c>
      <c r="G24" s="142" t="n">
        <f aca="true">OFFSET($D$9, 0, (ROW()-16)*4)</f>
        <v>5.43284627790123E-029</v>
      </c>
      <c r="H24" s="142" t="n">
        <f aca="true">OFFSET($D$10, 0, (ROW()-16)*4)</f>
        <v>85.6757020205694</v>
      </c>
      <c r="I24" s="142" t="n">
        <f aca="true">OFFSET($D$11, 0, (ROW()-16)*4)</f>
        <v>85.0771171660578</v>
      </c>
      <c r="J24" s="84"/>
      <c r="N24" s="84"/>
      <c r="R24" s="84"/>
      <c r="V24" s="84"/>
      <c r="Z24" s="84"/>
      <c r="AD24" s="84"/>
      <c r="AH24" s="84"/>
      <c r="AL24" s="84"/>
      <c r="AP24" s="84"/>
      <c r="AT24" s="84"/>
      <c r="AX24" s="84"/>
      <c r="BB24" s="85"/>
      <c r="BC24" s="84"/>
      <c r="BD24" s="84"/>
      <c r="BF24" s="84"/>
      <c r="BL24" s="84"/>
      <c r="BP24" s="86"/>
      <c r="BV24" s="84"/>
      <c r="CA24" s="84"/>
      <c r="CF24" s="84"/>
      <c r="CK24" s="84"/>
      <c r="CP24" s="84"/>
      <c r="CS24" s="86"/>
      <c r="CT24" s="84"/>
      <c r="CW24" s="86"/>
      <c r="CX24" s="84"/>
      <c r="DA24" s="86"/>
      <c r="DB24" s="84"/>
      <c r="DE24" s="86"/>
      <c r="DF24" s="84"/>
      <c r="DI24" s="86"/>
      <c r="DJ24" s="84"/>
      <c r="DM24" s="86"/>
      <c r="DN24" s="84"/>
      <c r="DQ24" s="86"/>
      <c r="DR24" s="85"/>
      <c r="DS24" s="85"/>
      <c r="DT24" s="84"/>
      <c r="DV24" s="84"/>
      <c r="DW24" s="157"/>
      <c r="EB24" s="84"/>
      <c r="EG24" s="84"/>
      <c r="EK24" s="84"/>
      <c r="EO24" s="84"/>
      <c r="ES24" s="84"/>
      <c r="EW24" s="84"/>
    </row>
    <row r="25" customFormat="false" ht="12.75" hidden="false" customHeight="false" outlineLevel="0" collapsed="false">
      <c r="A25" s="160" t="s">
        <v>136</v>
      </c>
      <c r="B25" s="142" t="n">
        <f aca="true">OFFSET($D$4, 0, (ROW()-16)*4)</f>
        <v>5.83417598765432E-032</v>
      </c>
      <c r="C25" s="142" t="n">
        <f aca="true">OFFSET($D$5, 0, (ROW()-16)*4)</f>
        <v>2.92780888935185E-029</v>
      </c>
      <c r="D25" s="142" t="n">
        <f aca="true">OFFSET($D$6, 0, (ROW()-16)*4)</f>
        <v>81.8670604053372</v>
      </c>
      <c r="E25" s="142" t="n">
        <f aca="true">OFFSET($D$7, 0, (ROW()-16)*4)</f>
        <v>81.2738039764132</v>
      </c>
      <c r="F25" s="142" t="n">
        <f aca="true">OFFSET($D$8, 0, (ROW()-16)*4)</f>
        <v>6.25370839506172E-032</v>
      </c>
      <c r="G25" s="142" t="n">
        <f aca="true">OFFSET($D$9, 0, (ROW()-16)*4)</f>
        <v>9.65987681265432E-030</v>
      </c>
      <c r="H25" s="142" t="n">
        <f aca="true">OFFSET($D$10, 0, (ROW()-16)*4)</f>
        <v>81.8720629092035</v>
      </c>
      <c r="I25" s="142" t="n">
        <f aca="true">OFFSET($D$11, 0, (ROW()-16)*4)</f>
        <v>81.266161071017</v>
      </c>
      <c r="J25" s="84"/>
      <c r="N25" s="84"/>
      <c r="R25" s="84"/>
      <c r="V25" s="84"/>
      <c r="Z25" s="84"/>
      <c r="AD25" s="84"/>
      <c r="AH25" s="84"/>
      <c r="AL25" s="84"/>
      <c r="AP25" s="84"/>
      <c r="AT25" s="84"/>
      <c r="AX25" s="84"/>
      <c r="BB25" s="85"/>
      <c r="BC25" s="84"/>
      <c r="BD25" s="84"/>
      <c r="BF25" s="84"/>
      <c r="BL25" s="84"/>
      <c r="BP25" s="86"/>
      <c r="BV25" s="84"/>
      <c r="CA25" s="84"/>
      <c r="CF25" s="84"/>
      <c r="CK25" s="84"/>
      <c r="CP25" s="84"/>
      <c r="CS25" s="86"/>
      <c r="CT25" s="84"/>
      <c r="CW25" s="86"/>
      <c r="CX25" s="84"/>
      <c r="DA25" s="86"/>
      <c r="DB25" s="84"/>
      <c r="DE25" s="86"/>
      <c r="DF25" s="84"/>
      <c r="DI25" s="86"/>
      <c r="DJ25" s="84"/>
      <c r="DM25" s="86"/>
      <c r="DN25" s="84"/>
      <c r="DQ25" s="86"/>
      <c r="DR25" s="85"/>
      <c r="DS25" s="85"/>
      <c r="DT25" s="84"/>
      <c r="DV25" s="84"/>
      <c r="DW25" s="157"/>
      <c r="EB25" s="84"/>
      <c r="EG25" s="84"/>
      <c r="EK25" s="84"/>
      <c r="EO25" s="84"/>
      <c r="ES25" s="84"/>
      <c r="EW25" s="84"/>
    </row>
    <row r="26" customFormat="false" ht="12.75" hidden="false" customHeight="false" outlineLevel="0" collapsed="false">
      <c r="A26" s="160" t="s">
        <v>137</v>
      </c>
      <c r="B26" s="142" t="n">
        <f aca="true">OFFSET($D$4, 0, (ROW()-16)*4)</f>
        <v>5.43615272839506E-031</v>
      </c>
      <c r="C26" s="142" t="n">
        <f aca="true">OFFSET($D$5, 0, (ROW()-16)*4)</f>
        <v>6.37791679875961E-022</v>
      </c>
      <c r="D26" s="142" t="n">
        <f aca="true">OFFSET($D$6, 0, (ROW()-16)*4)</f>
        <v>4.34372613858642E-027</v>
      </c>
      <c r="E26" s="142" t="n">
        <f aca="true">OFFSET($D$7, 0, (ROW()-16)*4)</f>
        <v>83.0269598124235</v>
      </c>
      <c r="F26" s="142" t="n">
        <f aca="true">OFFSET($D$8, 0, (ROW()-16)*4)</f>
        <v>7.18886112037037E-031</v>
      </c>
      <c r="G26" s="142" t="n">
        <f aca="true">OFFSET($D$9, 0, (ROW()-16)*4)</f>
        <v>1.94010452018518E-029</v>
      </c>
      <c r="H26" s="142" t="n">
        <f aca="true">OFFSET($D$10, 0, (ROW()-16)*4)</f>
        <v>2.29097295247345E-027</v>
      </c>
      <c r="I26" s="142" t="n">
        <f aca="true">OFFSET($D$11, 0, (ROW()-16)*4)</f>
        <v>83.0234751711695</v>
      </c>
      <c r="J26" s="84"/>
      <c r="N26" s="84"/>
      <c r="R26" s="84"/>
      <c r="V26" s="84"/>
      <c r="Z26" s="84"/>
      <c r="AD26" s="84"/>
      <c r="AH26" s="84"/>
      <c r="AL26" s="84"/>
      <c r="AP26" s="84"/>
      <c r="AT26" s="84"/>
      <c r="AX26" s="84"/>
      <c r="BB26" s="85"/>
      <c r="BC26" s="84"/>
      <c r="BD26" s="84"/>
      <c r="BF26" s="84"/>
      <c r="BL26" s="84"/>
      <c r="BP26" s="86"/>
      <c r="BV26" s="84"/>
      <c r="CA26" s="84"/>
      <c r="CF26" s="84"/>
      <c r="CK26" s="84"/>
      <c r="CP26" s="84"/>
      <c r="CS26" s="86"/>
      <c r="CT26" s="84"/>
      <c r="CW26" s="86"/>
      <c r="CX26" s="84"/>
      <c r="DA26" s="86"/>
      <c r="DB26" s="84"/>
      <c r="DE26" s="86"/>
      <c r="DF26" s="84"/>
      <c r="DI26" s="86"/>
      <c r="DJ26" s="84"/>
      <c r="DM26" s="86"/>
      <c r="DN26" s="84"/>
      <c r="DQ26" s="86"/>
      <c r="DR26" s="85"/>
      <c r="DS26" s="85"/>
      <c r="DT26" s="84"/>
      <c r="DV26" s="84"/>
      <c r="DW26" s="157"/>
      <c r="EB26" s="84"/>
      <c r="EG26" s="84"/>
      <c r="EK26" s="84"/>
      <c r="EO26" s="84"/>
      <c r="ES26" s="84"/>
      <c r="EW26" s="84"/>
    </row>
    <row r="27" customFormat="false" ht="12.75" hidden="false" customHeight="false" outlineLevel="0" collapsed="false">
      <c r="A27" s="160" t="s">
        <v>138</v>
      </c>
      <c r="B27" s="142" t="n">
        <f aca="true">OFFSET($D$4, 0, (ROW()-16)*4)</f>
        <v>5.4093574074074E-032</v>
      </c>
      <c r="C27" s="142" t="n">
        <f aca="true">OFFSET($D$5, 0, (ROW()-16)*4)</f>
        <v>7.60219577317901E-029</v>
      </c>
      <c r="D27" s="142" t="n">
        <f aca="true">OFFSET($D$6, 0, (ROW()-16)*4)</f>
        <v>6.28158853178487E-027</v>
      </c>
      <c r="E27" s="142" t="n">
        <f aca="true">OFFSET($D$7, 0, (ROW()-16)*4)</f>
        <v>78.9164509765364</v>
      </c>
      <c r="F27" s="142" t="n">
        <f aca="true">OFFSET($D$8, 0, (ROW()-16)*4)</f>
        <v>6.13966175925925E-032</v>
      </c>
      <c r="G27" s="142" t="n">
        <f aca="true">OFFSET($D$9, 0, (ROW()-16)*4)</f>
        <v>1.15453632762345E-029</v>
      </c>
      <c r="H27" s="142" t="n">
        <f aca="true">OFFSET($D$10, 0, (ROW()-16)*4)</f>
        <v>5.46382237619259E-027</v>
      </c>
      <c r="I27" s="142" t="n">
        <f aca="true">OFFSET($D$11, 0, (ROW()-16)*4)</f>
        <v>78.9244417726713</v>
      </c>
      <c r="J27" s="84"/>
      <c r="N27" s="84"/>
      <c r="R27" s="84"/>
      <c r="V27" s="84"/>
      <c r="Z27" s="84"/>
      <c r="AD27" s="84"/>
      <c r="AH27" s="84"/>
      <c r="AL27" s="84"/>
      <c r="AP27" s="84"/>
      <c r="AT27" s="84"/>
      <c r="AX27" s="84"/>
      <c r="BB27" s="85"/>
      <c r="BC27" s="84"/>
      <c r="BD27" s="84"/>
      <c r="BF27" s="84"/>
      <c r="BL27" s="84"/>
      <c r="BP27" s="86"/>
      <c r="BV27" s="84"/>
      <c r="CA27" s="84"/>
      <c r="CF27" s="84"/>
      <c r="CK27" s="84"/>
      <c r="CP27" s="84"/>
      <c r="CS27" s="86"/>
      <c r="CT27" s="84"/>
      <c r="CW27" s="86"/>
      <c r="CX27" s="84"/>
      <c r="DA27" s="86"/>
      <c r="DB27" s="84"/>
      <c r="DE27" s="86"/>
      <c r="DF27" s="84"/>
      <c r="DI27" s="86"/>
      <c r="DJ27" s="84"/>
      <c r="DM27" s="86"/>
      <c r="DN27" s="84"/>
      <c r="DQ27" s="86"/>
      <c r="DR27" s="85"/>
      <c r="DS27" s="85"/>
      <c r="DT27" s="84"/>
      <c r="DV27" s="84"/>
      <c r="DW27" s="157"/>
      <c r="EB27" s="84"/>
      <c r="EG27" s="84"/>
      <c r="EK27" s="84"/>
      <c r="EO27" s="84"/>
      <c r="ES27" s="84"/>
      <c r="EW27" s="84"/>
    </row>
    <row r="28" customFormat="false" ht="12.75" hidden="false" customHeight="false" outlineLevel="0" collapsed="false">
      <c r="A28" s="160" t="s">
        <v>139</v>
      </c>
      <c r="B28" s="161" t="n">
        <f aca="true">OFFSET($D$4, 0, (ROW()-16)*4)</f>
        <v>3.6472674382716E-032</v>
      </c>
      <c r="C28" s="161" t="n">
        <f aca="true">OFFSET($D$5, 0, (ROW()-16)*4)</f>
        <v>1.45517987263672E-027</v>
      </c>
      <c r="D28" s="161" t="n">
        <f aca="true">OFFSET($D$6, 0, (ROW()-16)*4)</f>
        <v>6.87829454469166E-027</v>
      </c>
      <c r="E28" s="161" t="n">
        <f aca="true">OFFSET($D$7, 0, (ROW()-16)*4)</f>
        <v>81.0208778213772</v>
      </c>
      <c r="F28" s="161" t="n">
        <f aca="true">OFFSET($D$8, 0, (ROW()-16)*4)</f>
        <v>3.54136848765432E-032</v>
      </c>
      <c r="G28" s="161" t="n">
        <f aca="true">OFFSET($D$9, 0, (ROW()-16)*4)</f>
        <v>1.39117162490462E-027</v>
      </c>
      <c r="H28" s="161" t="n">
        <f aca="true">OFFSET($D$10, 0, (ROW()-16)*4)</f>
        <v>6.25769266835493E-027</v>
      </c>
      <c r="I28" s="162" t="n">
        <f aca="true">OFFSET($D$11, 0, (ROW()-16)*4)</f>
        <v>81.0134893767292</v>
      </c>
      <c r="J28" s="84"/>
      <c r="N28" s="84"/>
      <c r="R28" s="84"/>
      <c r="V28" s="84"/>
      <c r="Z28" s="84"/>
      <c r="AD28" s="84"/>
      <c r="AH28" s="84"/>
      <c r="AL28" s="84"/>
      <c r="AP28" s="84"/>
      <c r="AT28" s="84"/>
      <c r="AX28" s="84"/>
      <c r="BB28" s="85"/>
      <c r="BC28" s="84"/>
      <c r="BD28" s="84"/>
      <c r="BF28" s="84"/>
      <c r="BL28" s="84"/>
      <c r="BP28" s="86"/>
      <c r="BV28" s="84"/>
      <c r="CA28" s="84"/>
      <c r="CF28" s="84"/>
      <c r="CK28" s="84"/>
      <c r="CP28" s="84"/>
      <c r="CS28" s="86"/>
      <c r="CT28" s="84"/>
      <c r="CW28" s="86"/>
      <c r="CX28" s="84"/>
      <c r="DA28" s="86"/>
      <c r="DB28" s="84"/>
      <c r="DE28" s="86"/>
      <c r="DF28" s="84"/>
      <c r="DI28" s="86"/>
      <c r="DJ28" s="84"/>
      <c r="DM28" s="86"/>
      <c r="DN28" s="84"/>
      <c r="DQ28" s="86"/>
      <c r="DR28" s="85"/>
      <c r="DS28" s="85"/>
      <c r="DT28" s="84"/>
      <c r="DV28" s="84"/>
      <c r="DW28" s="157"/>
      <c r="EB28" s="84"/>
      <c r="EG28" s="84"/>
      <c r="EK28" s="84"/>
      <c r="EO28" s="84"/>
      <c r="ES28" s="84"/>
      <c r="EW28" s="84"/>
    </row>
    <row r="29" customFormat="false" ht="12.75" hidden="false" customHeight="false" outlineLevel="0" collapsed="false">
      <c r="A29" s="163" t="s">
        <v>129</v>
      </c>
      <c r="B29" s="142" t="n">
        <f aca="false">SUM(B16:B28)</f>
        <v>0.496487239806483</v>
      </c>
      <c r="C29" s="142" t="n">
        <f aca="false">SUM(C16:C28)</f>
        <v>197.971835999663</v>
      </c>
      <c r="D29" s="142" t="n">
        <f aca="false">SUM(D16:D28)</f>
        <v>552.131432869445</v>
      </c>
      <c r="E29" s="142" t="n">
        <f aca="false">SUM(E16:E28)</f>
        <v>884.101216276998</v>
      </c>
      <c r="F29" s="142" t="n">
        <f aca="false">SUM(F16:F28)</f>
        <v>0.559816082149209</v>
      </c>
      <c r="G29" s="142" t="n">
        <f aca="false">SUM(G16:G28)</f>
        <v>196.060758707594</v>
      </c>
      <c r="H29" s="142" t="n">
        <f aca="false">SUM(H16:H28)</f>
        <v>553.066905013542</v>
      </c>
      <c r="I29" s="142" t="n">
        <f aca="false">SUM(I16:I28)</f>
        <v>882.743177956997</v>
      </c>
      <c r="J29" s="84"/>
      <c r="N29" s="84"/>
      <c r="R29" s="84"/>
      <c r="V29" s="84"/>
      <c r="Z29" s="84"/>
      <c r="AD29" s="84"/>
      <c r="AH29" s="84"/>
      <c r="AL29" s="84"/>
      <c r="AP29" s="84"/>
      <c r="AT29" s="84"/>
      <c r="AX29" s="84"/>
      <c r="BB29" s="85"/>
      <c r="BC29" s="84"/>
      <c r="BD29" s="84"/>
      <c r="BF29" s="84"/>
      <c r="BL29" s="84"/>
      <c r="BP29" s="86"/>
      <c r="BV29" s="84"/>
      <c r="CA29" s="84"/>
      <c r="CF29" s="84"/>
      <c r="CK29" s="84"/>
      <c r="CP29" s="84"/>
      <c r="CS29" s="86"/>
      <c r="CT29" s="84"/>
      <c r="CW29" s="86"/>
      <c r="CX29" s="84"/>
      <c r="DA29" s="86"/>
      <c r="DB29" s="84"/>
      <c r="DE29" s="86"/>
      <c r="DF29" s="84"/>
      <c r="DI29" s="86"/>
      <c r="DJ29" s="84"/>
      <c r="DM29" s="86"/>
      <c r="DN29" s="84"/>
      <c r="DQ29" s="86"/>
      <c r="DR29" s="85"/>
      <c r="DS29" s="85"/>
      <c r="DT29" s="84"/>
      <c r="DV29" s="84"/>
      <c r="DW29" s="157"/>
      <c r="EB29" s="84"/>
      <c r="EG29" s="84"/>
      <c r="EK29" s="84"/>
      <c r="EO29" s="84"/>
      <c r="ES29" s="84"/>
      <c r="EW29" s="84"/>
    </row>
    <row r="30" customFormat="false" ht="12.75" hidden="false" customHeight="false" outlineLevel="0" collapsed="false">
      <c r="A30" s="163" t="s">
        <v>130</v>
      </c>
      <c r="B30" s="59" t="n">
        <f aca="false">IFERROR(__xludf.dummyfunction("FILTER(FILTER('Data Scenarios 5-6'!$A$2:$CE$105,'Data Scenarios 5-6'!$A$1:$CE$1=""P_Out""),'Data Scenarios 5-6'!$B$2:$B$105=$A4,'Data Scenarios 5-6'!$C$2:$C$105=""All"",'Data Scenarios 5-6'!$D$2:$D$105=""Mean"")"),0.496487239806485)</f>
        <v>0.496487239806485</v>
      </c>
      <c r="C30" s="59" t="n">
        <f aca="false">IFERROR(__xludf.dummyfunction("FILTER(FILTER('Data Scenarios 5-6'!$A$2:$CE$105,'Data Scenarios 5-6'!$A$1:$CE$1=""P_Out""),'Data Scenarios 5-6'!$B$2:$B$105=$A5,'Data Scenarios 5-6'!$C$2:$C$105=""All"",'Data Scenarios 5-6'!$D$2:$D$105=""Mean"")"),197.971835999663)</f>
        <v>197.971835999663</v>
      </c>
      <c r="D30" s="59" t="n">
        <f aca="false">IFERROR(__xludf.dummyfunction("FILTER(FILTER('Data Scenarios 5-6'!$A$2:$CE$105,'Data Scenarios 5-6'!$A$1:$CE$1=""P_Out""),'Data Scenarios 5-6'!$B$2:$B$105=$A6,'Data Scenarios 5-6'!$C$2:$C$105=""All"",'Data Scenarios 5-6'!$D$2:$D$105=""Mean"")"),552.131432869445)</f>
        <v>552.131432869445</v>
      </c>
      <c r="E30" s="59" t="n">
        <f aca="false">IFERROR(__xludf.dummyfunction("FILTER(FILTER('Data Scenarios 5-6'!$A$2:$CE$105,'Data Scenarios 5-6'!$A$1:$CE$1=""P_Out""),'Data Scenarios 5-6'!$B$2:$B$105=$A7,'Data Scenarios 5-6'!$C$2:$C$105=""All"",'Data Scenarios 5-6'!$D$2:$D$105=""Mean"")"),884.101216276998)</f>
        <v>884.101216276998</v>
      </c>
      <c r="F30" s="59" t="n">
        <f aca="false">IFERROR(__xludf.dummyfunction("FILTER(FILTER('Data Scenarios 5-6'!$A$2:$CE$105,'Data Scenarios 5-6'!$A$1:$CE$1=""P_Out""),'Data Scenarios 5-6'!$B$2:$B$105=$A8,'Data Scenarios 5-6'!$C$2:$C$105=""All"",'Data Scenarios 5-6'!$D$2:$D$105=""Mean"")"),0.55981608214921)</f>
        <v>0.55981608214921</v>
      </c>
      <c r="G30" s="59" t="n">
        <f aca="false">IFERROR(__xludf.dummyfunction("FILTER(FILTER('Data Scenarios 5-6'!$A$2:$CE$105,'Data Scenarios 5-6'!$A$1:$CE$1=""P_Out""),'Data Scenarios 5-6'!$B$2:$B$105=$A9,'Data Scenarios 5-6'!$C$2:$C$105=""All"",'Data Scenarios 5-6'!$D$2:$D$105=""Mean"")"),196.060758707594)</f>
        <v>196.060758707594</v>
      </c>
      <c r="H30" s="59" t="n">
        <f aca="false">IFERROR(__xludf.dummyfunction("FILTER(FILTER('Data Scenarios 5-6'!$A$2:$CE$105,'Data Scenarios 5-6'!$A$1:$CE$1=""P_Out""),'Data Scenarios 5-6'!$B$2:$B$105=$A10,'Data Scenarios 5-6'!$C$2:$C$105=""All"",'Data Scenarios 5-6'!$D$2:$D$105=""Mean"")"),553.066905013542)</f>
        <v>553.066905013542</v>
      </c>
      <c r="I30" s="59" t="n">
        <f aca="false">IFERROR(__xludf.dummyfunction("FILTER(FILTER('Data Scenarios 5-6'!$A$2:$CE$105,'Data Scenarios 5-6'!$A$1:$CE$1=""P_Out""),'Data Scenarios 5-6'!$B$2:$B$105=$A11,'Data Scenarios 5-6'!$C$2:$C$105=""All"",'Data Scenarios 5-6'!$D$2:$D$105=""Mean"")"),882.743177956997)</f>
        <v>882.743177956997</v>
      </c>
      <c r="J30" s="84"/>
      <c r="N30" s="84"/>
      <c r="R30" s="84"/>
      <c r="V30" s="84"/>
      <c r="Z30" s="84"/>
      <c r="AD30" s="84"/>
      <c r="AH30" s="84"/>
      <c r="AL30" s="84"/>
      <c r="AP30" s="84"/>
      <c r="AT30" s="84"/>
      <c r="AX30" s="84"/>
      <c r="BB30" s="85"/>
      <c r="BC30" s="84"/>
      <c r="BD30" s="84"/>
      <c r="BF30" s="84"/>
      <c r="BL30" s="84"/>
      <c r="BP30" s="86"/>
      <c r="BV30" s="84"/>
      <c r="CA30" s="84"/>
      <c r="CF30" s="84"/>
      <c r="CK30" s="84"/>
      <c r="CP30" s="84"/>
      <c r="CS30" s="86"/>
      <c r="CT30" s="84"/>
      <c r="CW30" s="86"/>
      <c r="CX30" s="84"/>
      <c r="DA30" s="86"/>
      <c r="DB30" s="84"/>
      <c r="DE30" s="86"/>
      <c r="DF30" s="84"/>
      <c r="DI30" s="86"/>
      <c r="DJ30" s="84"/>
      <c r="DM30" s="86"/>
      <c r="DN30" s="84"/>
      <c r="DQ30" s="86"/>
      <c r="DR30" s="85"/>
      <c r="DS30" s="85"/>
      <c r="DT30" s="84"/>
      <c r="DV30" s="84"/>
      <c r="DW30" s="157"/>
      <c r="EB30" s="84"/>
      <c r="EG30" s="84"/>
      <c r="EK30" s="84"/>
      <c r="EO30" s="84"/>
      <c r="ES30" s="84"/>
      <c r="EW30" s="84"/>
    </row>
    <row r="31" customFormat="false" ht="12.75" hidden="false" customHeight="false" outlineLevel="0" collapsed="false">
      <c r="A31" s="164"/>
      <c r="B31" s="142"/>
      <c r="C31" s="142"/>
      <c r="D31" s="142"/>
      <c r="E31" s="165"/>
      <c r="F31" s="142"/>
      <c r="G31" s="142"/>
      <c r="H31" s="142"/>
      <c r="I31" s="142"/>
      <c r="J31" s="84"/>
      <c r="N31" s="84"/>
      <c r="R31" s="84"/>
      <c r="V31" s="84"/>
      <c r="Z31" s="84"/>
      <c r="AD31" s="84"/>
      <c r="AH31" s="84"/>
      <c r="AL31" s="84"/>
      <c r="AP31" s="84"/>
      <c r="AT31" s="84"/>
      <c r="AX31" s="84"/>
      <c r="BB31" s="85"/>
      <c r="BC31" s="84"/>
      <c r="BD31" s="84"/>
      <c r="BF31" s="84"/>
      <c r="BL31" s="84"/>
      <c r="BP31" s="86"/>
      <c r="BV31" s="84"/>
      <c r="CA31" s="84"/>
      <c r="CF31" s="84"/>
      <c r="CK31" s="84"/>
      <c r="CP31" s="84"/>
      <c r="CS31" s="86"/>
      <c r="CT31" s="84"/>
      <c r="CW31" s="86"/>
      <c r="CX31" s="84"/>
      <c r="DA31" s="86"/>
      <c r="DB31" s="84"/>
      <c r="DE31" s="86"/>
      <c r="DF31" s="84"/>
      <c r="DI31" s="86"/>
      <c r="DJ31" s="84"/>
      <c r="DM31" s="86"/>
      <c r="DN31" s="84"/>
      <c r="DQ31" s="86"/>
      <c r="DR31" s="85"/>
      <c r="DS31" s="85"/>
      <c r="DT31" s="84"/>
      <c r="DV31" s="84"/>
      <c r="DW31" s="157"/>
      <c r="EB31" s="84"/>
      <c r="EG31" s="84"/>
      <c r="EK31" s="84"/>
      <c r="EO31" s="84"/>
      <c r="ES31" s="84"/>
      <c r="EW31" s="84"/>
    </row>
    <row r="32" customFormat="false" ht="12.75" hidden="false" customHeight="false" outlineLevel="0" collapsed="false">
      <c r="B32" s="142"/>
      <c r="C32" s="142"/>
      <c r="D32" s="142"/>
      <c r="E32" s="142"/>
      <c r="F32" s="142"/>
      <c r="G32" s="142"/>
      <c r="H32" s="142"/>
      <c r="I32" s="142"/>
      <c r="J32" s="84"/>
      <c r="N32" s="84"/>
      <c r="R32" s="84"/>
      <c r="V32" s="84"/>
      <c r="Z32" s="84"/>
      <c r="AD32" s="84"/>
      <c r="AH32" s="84"/>
      <c r="AL32" s="84"/>
      <c r="AP32" s="84"/>
      <c r="AT32" s="84"/>
      <c r="AX32" s="84"/>
      <c r="BB32" s="85"/>
      <c r="BC32" s="84"/>
      <c r="BD32" s="84"/>
      <c r="BF32" s="84"/>
      <c r="BL32" s="84"/>
      <c r="BP32" s="86"/>
      <c r="BV32" s="84"/>
      <c r="CA32" s="84"/>
      <c r="CF32" s="84"/>
      <c r="CK32" s="84"/>
      <c r="CP32" s="84"/>
      <c r="CS32" s="86"/>
      <c r="CT32" s="84"/>
      <c r="CW32" s="86"/>
      <c r="CX32" s="84"/>
      <c r="DA32" s="86"/>
      <c r="DB32" s="84"/>
      <c r="DE32" s="86"/>
      <c r="DF32" s="84"/>
      <c r="DI32" s="86"/>
      <c r="DJ32" s="84"/>
      <c r="DM32" s="86"/>
      <c r="DN32" s="84"/>
      <c r="DQ32" s="86"/>
      <c r="DR32" s="85"/>
      <c r="DS32" s="85"/>
      <c r="DT32" s="84"/>
      <c r="DV32" s="84"/>
      <c r="DW32" s="157"/>
      <c r="EB32" s="84"/>
      <c r="EG32" s="84"/>
      <c r="EK32" s="84"/>
      <c r="EO32" s="84"/>
      <c r="ES32" s="84"/>
      <c r="EW32" s="84"/>
    </row>
    <row r="33" customFormat="false" ht="12.75" hidden="false" customHeight="false" outlineLevel="0" collapsed="false">
      <c r="A33" s="1" t="s">
        <v>143</v>
      </c>
      <c r="B33" s="142" t="n">
        <f aca="false">SUM(B19:B28)</f>
        <v>-4.88800043770555E-006</v>
      </c>
      <c r="C33" s="142" t="n">
        <f aca="false">SUM(C19:C28)</f>
        <v>179.282524823729</v>
      </c>
      <c r="D33" s="142" t="n">
        <f aca="false">SUM(D19:D28)</f>
        <v>428.217542777831</v>
      </c>
      <c r="E33" s="142" t="n">
        <f aca="false">SUM(E19:E28)</f>
        <v>667.60556539619</v>
      </c>
      <c r="F33" s="142" t="n">
        <f aca="false">SUM(F19:F28)</f>
        <v>0.000126640999199999</v>
      </c>
      <c r="G33" s="142" t="n">
        <f aca="false">SUM(G19:G28)</f>
        <v>177.027180504431</v>
      </c>
      <c r="H33" s="142" t="n">
        <f aca="false">SUM(H19:H28)</f>
        <v>428.983823553818</v>
      </c>
      <c r="I33" s="142" t="n">
        <f aca="false">SUM(I19:I28)</f>
        <v>666.241732871872</v>
      </c>
      <c r="J33" s="84"/>
      <c r="N33" s="84"/>
      <c r="R33" s="84"/>
      <c r="V33" s="84"/>
      <c r="Z33" s="84"/>
      <c r="AD33" s="84"/>
      <c r="AH33" s="84"/>
      <c r="AL33" s="84"/>
      <c r="AP33" s="84"/>
      <c r="AT33" s="84"/>
      <c r="AX33" s="84"/>
      <c r="BB33" s="85"/>
      <c r="BC33" s="84"/>
      <c r="BD33" s="84"/>
      <c r="BF33" s="84"/>
      <c r="BL33" s="84"/>
      <c r="BP33" s="86"/>
      <c r="BV33" s="84"/>
      <c r="CA33" s="84"/>
      <c r="CF33" s="84"/>
      <c r="CK33" s="84"/>
      <c r="CP33" s="84"/>
      <c r="CS33" s="86"/>
      <c r="CT33" s="84"/>
      <c r="CW33" s="86"/>
      <c r="CX33" s="84"/>
      <c r="DA33" s="86"/>
      <c r="DB33" s="84"/>
      <c r="DE33" s="86"/>
      <c r="DF33" s="84"/>
      <c r="DI33" s="86"/>
      <c r="DJ33" s="84"/>
      <c r="DM33" s="86"/>
      <c r="DN33" s="84"/>
      <c r="DQ33" s="86"/>
      <c r="DR33" s="85"/>
      <c r="DS33" s="85"/>
      <c r="DT33" s="84"/>
      <c r="DV33" s="84"/>
      <c r="DW33" s="157"/>
      <c r="EB33" s="84"/>
      <c r="EG33" s="84"/>
      <c r="EK33" s="84"/>
      <c r="EO33" s="84"/>
      <c r="ES33" s="84"/>
      <c r="EW33" s="84"/>
    </row>
    <row r="34" customFormat="false" ht="12.75" hidden="false" customHeight="false" outlineLevel="0" collapsed="false">
      <c r="A34" s="164"/>
      <c r="B34" s="164"/>
      <c r="E34" s="83"/>
      <c r="J34" s="84"/>
      <c r="N34" s="84"/>
      <c r="R34" s="84"/>
      <c r="V34" s="84"/>
      <c r="Z34" s="84"/>
      <c r="AD34" s="84"/>
      <c r="AH34" s="84"/>
      <c r="AL34" s="84"/>
      <c r="AP34" s="84"/>
      <c r="AT34" s="84"/>
      <c r="AX34" s="84"/>
      <c r="BB34" s="85"/>
      <c r="BC34" s="84"/>
      <c r="BD34" s="84"/>
      <c r="BF34" s="84"/>
      <c r="BL34" s="84"/>
      <c r="BP34" s="86"/>
      <c r="BV34" s="84"/>
      <c r="CA34" s="84"/>
      <c r="CF34" s="84"/>
      <c r="CK34" s="84"/>
      <c r="CP34" s="84"/>
      <c r="CS34" s="86"/>
      <c r="CT34" s="84"/>
      <c r="CW34" s="86"/>
      <c r="CX34" s="84"/>
      <c r="DA34" s="86"/>
      <c r="DB34" s="84"/>
      <c r="DE34" s="86"/>
      <c r="DF34" s="84"/>
      <c r="DI34" s="86"/>
      <c r="DJ34" s="84"/>
      <c r="DM34" s="86"/>
      <c r="DN34" s="84"/>
      <c r="DQ34" s="86"/>
      <c r="DR34" s="85"/>
      <c r="DS34" s="85"/>
      <c r="DT34" s="84"/>
      <c r="DV34" s="84"/>
      <c r="DW34" s="157"/>
      <c r="EB34" s="84"/>
      <c r="EG34" s="84"/>
      <c r="EK34" s="84"/>
      <c r="EO34" s="84"/>
      <c r="ES34" s="84"/>
      <c r="EW34" s="84"/>
    </row>
    <row r="35" customFormat="false" ht="12.75" hidden="false" customHeight="false" outlineLevel="0" collapsed="false">
      <c r="A35" s="164"/>
      <c r="B35" s="164"/>
      <c r="E35" s="83"/>
      <c r="J35" s="84"/>
      <c r="N35" s="84"/>
      <c r="R35" s="84"/>
      <c r="V35" s="84"/>
      <c r="Z35" s="84"/>
      <c r="AD35" s="84"/>
      <c r="AH35" s="84"/>
      <c r="AL35" s="84"/>
      <c r="AP35" s="84"/>
      <c r="AT35" s="84"/>
      <c r="AX35" s="84"/>
      <c r="BB35" s="85"/>
      <c r="BC35" s="84"/>
      <c r="BD35" s="84"/>
      <c r="BF35" s="84"/>
      <c r="BL35" s="84"/>
      <c r="BP35" s="86"/>
      <c r="BV35" s="84"/>
      <c r="CA35" s="84"/>
      <c r="CF35" s="84"/>
      <c r="CK35" s="84"/>
      <c r="CP35" s="84"/>
      <c r="CS35" s="86"/>
      <c r="CT35" s="84"/>
      <c r="CW35" s="86"/>
      <c r="CX35" s="84"/>
      <c r="DA35" s="86"/>
      <c r="DB35" s="84"/>
      <c r="DE35" s="86"/>
      <c r="DF35" s="84"/>
      <c r="DI35" s="86"/>
      <c r="DJ35" s="84"/>
      <c r="DM35" s="86"/>
      <c r="DN35" s="84"/>
      <c r="DQ35" s="86"/>
      <c r="DR35" s="85"/>
      <c r="DS35" s="85"/>
      <c r="DT35" s="84"/>
      <c r="DV35" s="84"/>
      <c r="DW35" s="157"/>
      <c r="EB35" s="84"/>
      <c r="EG35" s="84"/>
      <c r="EK35" s="84"/>
      <c r="EO35" s="84"/>
      <c r="ES35" s="84"/>
      <c r="EW35" s="84"/>
    </row>
    <row r="36" customFormat="false" ht="12.75" hidden="false" customHeight="false" outlineLevel="0" collapsed="false">
      <c r="B36" s="164"/>
      <c r="E36" s="83"/>
      <c r="J36" s="84"/>
      <c r="N36" s="84"/>
      <c r="R36" s="84"/>
      <c r="V36" s="84"/>
      <c r="Z36" s="84"/>
      <c r="AD36" s="84"/>
      <c r="AH36" s="84"/>
      <c r="AL36" s="84"/>
      <c r="AP36" s="84"/>
      <c r="AT36" s="84"/>
      <c r="AX36" s="84"/>
      <c r="BB36" s="85"/>
      <c r="BC36" s="84"/>
      <c r="BD36" s="84"/>
      <c r="BF36" s="84"/>
      <c r="BL36" s="84"/>
      <c r="BP36" s="86"/>
      <c r="BV36" s="84"/>
      <c r="CA36" s="84"/>
      <c r="CF36" s="84"/>
      <c r="CK36" s="84"/>
      <c r="CP36" s="84"/>
      <c r="CS36" s="86"/>
      <c r="CT36" s="84"/>
      <c r="CW36" s="86"/>
      <c r="CX36" s="84"/>
      <c r="DA36" s="86"/>
      <c r="DB36" s="84"/>
      <c r="DE36" s="86"/>
      <c r="DF36" s="84"/>
      <c r="DI36" s="86"/>
      <c r="DJ36" s="84"/>
      <c r="DM36" s="86"/>
      <c r="DN36" s="84"/>
      <c r="DQ36" s="86"/>
      <c r="DR36" s="85"/>
      <c r="DS36" s="85"/>
      <c r="DT36" s="84"/>
      <c r="DV36" s="84"/>
      <c r="DW36" s="157"/>
      <c r="EB36" s="84"/>
      <c r="EG36" s="84"/>
      <c r="EK36" s="84"/>
      <c r="EO36" s="84"/>
      <c r="ES36" s="84"/>
      <c r="EW36" s="84"/>
    </row>
    <row r="37" customFormat="false" ht="12.75" hidden="false" customHeight="false" outlineLevel="0" collapsed="false">
      <c r="A37" s="164"/>
      <c r="B37" s="164"/>
      <c r="E37" s="83"/>
      <c r="J37" s="84"/>
      <c r="N37" s="84"/>
      <c r="R37" s="84"/>
      <c r="V37" s="84"/>
      <c r="Z37" s="84"/>
      <c r="AD37" s="84"/>
      <c r="AH37" s="84"/>
      <c r="AL37" s="84"/>
      <c r="AP37" s="84"/>
      <c r="AT37" s="84"/>
      <c r="AX37" s="84"/>
      <c r="BB37" s="85"/>
      <c r="BC37" s="84"/>
      <c r="BD37" s="84"/>
      <c r="BF37" s="84"/>
      <c r="BL37" s="84"/>
      <c r="BP37" s="86"/>
      <c r="BV37" s="84"/>
      <c r="CA37" s="84"/>
      <c r="CF37" s="84"/>
      <c r="CK37" s="84"/>
      <c r="CP37" s="84"/>
      <c r="CS37" s="86"/>
      <c r="CT37" s="84"/>
      <c r="CW37" s="86"/>
      <c r="CX37" s="84"/>
      <c r="DA37" s="86"/>
      <c r="DB37" s="84"/>
      <c r="DE37" s="86"/>
      <c r="DF37" s="84"/>
      <c r="DI37" s="86"/>
      <c r="DJ37" s="84"/>
      <c r="DM37" s="86"/>
      <c r="DN37" s="84"/>
      <c r="DQ37" s="86"/>
      <c r="DR37" s="85"/>
      <c r="DS37" s="85"/>
      <c r="DT37" s="84"/>
      <c r="DV37" s="84"/>
      <c r="DW37" s="157"/>
      <c r="EB37" s="84"/>
      <c r="EG37" s="84"/>
      <c r="EK37" s="84"/>
      <c r="EO37" s="84"/>
      <c r="ES37" s="84"/>
      <c r="EW37" s="84"/>
    </row>
    <row r="38" customFormat="false" ht="12.75" hidden="false" customHeight="false" outlineLevel="0" collapsed="false">
      <c r="A38" s="164"/>
      <c r="B38" s="164"/>
      <c r="J38" s="84"/>
      <c r="N38" s="84"/>
      <c r="R38" s="84"/>
      <c r="V38" s="84"/>
      <c r="Z38" s="84"/>
      <c r="AD38" s="84"/>
      <c r="AH38" s="84"/>
      <c r="AL38" s="84"/>
      <c r="AP38" s="84"/>
      <c r="AT38" s="84"/>
      <c r="AX38" s="84"/>
      <c r="BB38" s="85"/>
      <c r="BC38" s="84"/>
      <c r="BD38" s="84"/>
      <c r="BF38" s="84"/>
      <c r="BL38" s="84"/>
      <c r="BP38" s="86"/>
      <c r="BV38" s="84"/>
      <c r="CA38" s="84"/>
      <c r="CF38" s="84"/>
      <c r="CK38" s="84"/>
      <c r="CP38" s="84"/>
      <c r="CS38" s="86"/>
      <c r="CT38" s="84"/>
      <c r="CW38" s="86"/>
      <c r="CX38" s="84"/>
      <c r="DA38" s="86"/>
      <c r="DB38" s="84"/>
      <c r="DE38" s="86"/>
      <c r="DF38" s="84"/>
      <c r="DI38" s="86"/>
      <c r="DJ38" s="84"/>
      <c r="DM38" s="86"/>
      <c r="DN38" s="84"/>
      <c r="DQ38" s="86"/>
      <c r="DR38" s="85"/>
      <c r="DS38" s="85"/>
      <c r="DT38" s="84"/>
      <c r="DV38" s="84"/>
      <c r="DW38" s="157"/>
      <c r="EB38" s="84"/>
      <c r="EG38" s="84"/>
      <c r="EK38" s="84"/>
      <c r="EO38" s="84"/>
      <c r="ES38" s="84"/>
      <c r="EW38" s="84"/>
    </row>
    <row r="39" customFormat="false" ht="12.75" hidden="false" customHeight="false" outlineLevel="0" collapsed="false">
      <c r="A39" s="164"/>
      <c r="B39" s="164"/>
      <c r="E39" s="83"/>
      <c r="J39" s="84"/>
      <c r="N39" s="84"/>
      <c r="R39" s="84"/>
      <c r="V39" s="84"/>
      <c r="Z39" s="84"/>
      <c r="AD39" s="84"/>
      <c r="AH39" s="84"/>
      <c r="AL39" s="84"/>
      <c r="AP39" s="84"/>
      <c r="AT39" s="84"/>
      <c r="AX39" s="84"/>
      <c r="BB39" s="85"/>
      <c r="BC39" s="84"/>
      <c r="BD39" s="84"/>
      <c r="BF39" s="84"/>
      <c r="BL39" s="84"/>
      <c r="BP39" s="86"/>
      <c r="BV39" s="84"/>
      <c r="CA39" s="84"/>
      <c r="CF39" s="84"/>
      <c r="CK39" s="84"/>
      <c r="CP39" s="84"/>
      <c r="CS39" s="86"/>
      <c r="CT39" s="84"/>
      <c r="CW39" s="86"/>
      <c r="CX39" s="84"/>
      <c r="DA39" s="86"/>
      <c r="DB39" s="84"/>
      <c r="DE39" s="86"/>
      <c r="DF39" s="84"/>
      <c r="DI39" s="86"/>
      <c r="DJ39" s="84"/>
      <c r="DM39" s="86"/>
      <c r="DN39" s="84"/>
      <c r="DQ39" s="86"/>
      <c r="DR39" s="85"/>
      <c r="DS39" s="85"/>
      <c r="DT39" s="84"/>
      <c r="DV39" s="84"/>
      <c r="DW39" s="157"/>
      <c r="EB39" s="84"/>
      <c r="EG39" s="84"/>
      <c r="EK39" s="84"/>
      <c r="EO39" s="84"/>
      <c r="ES39" s="84"/>
      <c r="EW39" s="84"/>
    </row>
    <row r="40" customFormat="false" ht="12.75" hidden="false" customHeight="false" outlineLevel="0" collapsed="false">
      <c r="J40" s="84"/>
      <c r="N40" s="84"/>
      <c r="R40" s="84"/>
      <c r="V40" s="84"/>
      <c r="Z40" s="84"/>
      <c r="AD40" s="84"/>
      <c r="AH40" s="84"/>
      <c r="AL40" s="84"/>
      <c r="AP40" s="84"/>
      <c r="AT40" s="84"/>
      <c r="AX40" s="84"/>
      <c r="BB40" s="85"/>
      <c r="BC40" s="84"/>
      <c r="BD40" s="84"/>
      <c r="BF40" s="84"/>
      <c r="BL40" s="84"/>
      <c r="BP40" s="86"/>
      <c r="BV40" s="84"/>
      <c r="CA40" s="84"/>
      <c r="CF40" s="84"/>
      <c r="CK40" s="84"/>
      <c r="CP40" s="84"/>
      <c r="CS40" s="86"/>
      <c r="CT40" s="84"/>
      <c r="CW40" s="86"/>
      <c r="CX40" s="84"/>
      <c r="DA40" s="86"/>
      <c r="DB40" s="84"/>
      <c r="DE40" s="86"/>
      <c r="DF40" s="84"/>
      <c r="DI40" s="86"/>
      <c r="DJ40" s="84"/>
      <c r="DM40" s="86"/>
      <c r="DN40" s="84"/>
      <c r="DQ40" s="86"/>
      <c r="DR40" s="85"/>
      <c r="DS40" s="85"/>
      <c r="DT40" s="84"/>
      <c r="DV40" s="84"/>
      <c r="DW40" s="157"/>
      <c r="EB40" s="84"/>
      <c r="EG40" s="84"/>
      <c r="EK40" s="84"/>
      <c r="EO40" s="84"/>
      <c r="ES40" s="84"/>
      <c r="EW40" s="84"/>
    </row>
    <row r="41" customFormat="false" ht="12.75" hidden="false" customHeight="false" outlineLevel="0" collapsed="false">
      <c r="A41" s="164"/>
      <c r="E41" s="83"/>
      <c r="J41" s="84"/>
      <c r="N41" s="84"/>
      <c r="R41" s="84"/>
      <c r="V41" s="84"/>
      <c r="Z41" s="84"/>
      <c r="AD41" s="84"/>
      <c r="AH41" s="84"/>
      <c r="AL41" s="84"/>
      <c r="AP41" s="84"/>
      <c r="AT41" s="84"/>
      <c r="AX41" s="84"/>
      <c r="BB41" s="85"/>
      <c r="BC41" s="84"/>
      <c r="BD41" s="84"/>
      <c r="BF41" s="84"/>
      <c r="BL41" s="84"/>
      <c r="BP41" s="86"/>
      <c r="BV41" s="84"/>
      <c r="CA41" s="84"/>
      <c r="CF41" s="84"/>
      <c r="CK41" s="84"/>
      <c r="CP41" s="84"/>
      <c r="CS41" s="86"/>
      <c r="CT41" s="84"/>
      <c r="CW41" s="86"/>
      <c r="CX41" s="84"/>
      <c r="DA41" s="86"/>
      <c r="DB41" s="84"/>
      <c r="DE41" s="86"/>
      <c r="DF41" s="84"/>
      <c r="DI41" s="86"/>
      <c r="DJ41" s="84"/>
      <c r="DM41" s="86"/>
      <c r="DN41" s="84"/>
      <c r="DQ41" s="86"/>
      <c r="DR41" s="85"/>
      <c r="DS41" s="85"/>
      <c r="DT41" s="84"/>
      <c r="DV41" s="84"/>
      <c r="DW41" s="157"/>
      <c r="EB41" s="84"/>
      <c r="EG41" s="84"/>
      <c r="EK41" s="84"/>
      <c r="EO41" s="84"/>
      <c r="ES41" s="84"/>
      <c r="EW41" s="84"/>
    </row>
    <row r="42" customFormat="false" ht="12.75" hidden="false" customHeight="false" outlineLevel="0" collapsed="false">
      <c r="A42" s="164"/>
      <c r="E42" s="83"/>
      <c r="J42" s="84"/>
      <c r="N42" s="84"/>
      <c r="R42" s="84"/>
      <c r="V42" s="84"/>
      <c r="Z42" s="84"/>
      <c r="AD42" s="84"/>
      <c r="AH42" s="84"/>
      <c r="AL42" s="84"/>
      <c r="AP42" s="84"/>
      <c r="AT42" s="84"/>
      <c r="AX42" s="84"/>
      <c r="BB42" s="85"/>
      <c r="BC42" s="84"/>
      <c r="BD42" s="84"/>
      <c r="BF42" s="84"/>
      <c r="BL42" s="84"/>
      <c r="BP42" s="86"/>
      <c r="BV42" s="84"/>
      <c r="CA42" s="84"/>
      <c r="CF42" s="84"/>
      <c r="CK42" s="84"/>
      <c r="CP42" s="84"/>
      <c r="CS42" s="86"/>
      <c r="CT42" s="84"/>
      <c r="CW42" s="86"/>
      <c r="CX42" s="84"/>
      <c r="DA42" s="86"/>
      <c r="DB42" s="84"/>
      <c r="DE42" s="86"/>
      <c r="DF42" s="84"/>
      <c r="DI42" s="86"/>
      <c r="DJ42" s="84"/>
      <c r="DM42" s="86"/>
      <c r="DN42" s="84"/>
      <c r="DQ42" s="86"/>
      <c r="DR42" s="85"/>
      <c r="DS42" s="85"/>
      <c r="DT42" s="84"/>
      <c r="DV42" s="84"/>
      <c r="DW42" s="157"/>
      <c r="EB42" s="84"/>
      <c r="EG42" s="84"/>
      <c r="EK42" s="84"/>
      <c r="EO42" s="84"/>
      <c r="ES42" s="84"/>
      <c r="EW42" s="84"/>
    </row>
    <row r="43" customFormat="false" ht="12.75" hidden="false" customHeight="false" outlineLevel="0" collapsed="false">
      <c r="A43" s="164"/>
      <c r="E43" s="83"/>
      <c r="J43" s="84"/>
      <c r="N43" s="84"/>
      <c r="R43" s="84"/>
      <c r="V43" s="84"/>
      <c r="Z43" s="84"/>
      <c r="AD43" s="84"/>
      <c r="AH43" s="84"/>
      <c r="AL43" s="84"/>
      <c r="AP43" s="84"/>
      <c r="AT43" s="84"/>
      <c r="AX43" s="84"/>
      <c r="BB43" s="85"/>
      <c r="BC43" s="84"/>
      <c r="BD43" s="84"/>
      <c r="BF43" s="84"/>
      <c r="BL43" s="84"/>
      <c r="BP43" s="86"/>
      <c r="BV43" s="84"/>
      <c r="CA43" s="84"/>
      <c r="CF43" s="84"/>
      <c r="CK43" s="84"/>
      <c r="CP43" s="84"/>
      <c r="CS43" s="86"/>
      <c r="CT43" s="84"/>
      <c r="CW43" s="86"/>
      <c r="CX43" s="84"/>
      <c r="DA43" s="86"/>
      <c r="DB43" s="84"/>
      <c r="DE43" s="86"/>
      <c r="DF43" s="84"/>
      <c r="DI43" s="86"/>
      <c r="DJ43" s="84"/>
      <c r="DM43" s="86"/>
      <c r="DN43" s="84"/>
      <c r="DQ43" s="86"/>
      <c r="DR43" s="85"/>
      <c r="DS43" s="85"/>
      <c r="DT43" s="84"/>
      <c r="DV43" s="84"/>
      <c r="DW43" s="157"/>
      <c r="EB43" s="84"/>
      <c r="EG43" s="84"/>
      <c r="EK43" s="84"/>
      <c r="EO43" s="84"/>
      <c r="ES43" s="84"/>
      <c r="EW43" s="84"/>
    </row>
    <row r="44" customFormat="false" ht="12.75" hidden="false" customHeight="false" outlineLevel="0" collapsed="false">
      <c r="E44" s="83"/>
      <c r="J44" s="84"/>
      <c r="N44" s="84"/>
      <c r="R44" s="84"/>
      <c r="V44" s="84"/>
      <c r="Z44" s="84"/>
      <c r="AD44" s="84"/>
      <c r="AH44" s="84"/>
      <c r="AL44" s="84"/>
      <c r="AP44" s="84"/>
      <c r="AT44" s="84"/>
      <c r="AX44" s="84"/>
      <c r="BB44" s="85"/>
      <c r="BC44" s="84"/>
      <c r="BD44" s="84"/>
      <c r="BF44" s="84"/>
      <c r="BL44" s="84"/>
      <c r="BP44" s="86"/>
      <c r="BV44" s="84"/>
      <c r="CA44" s="84"/>
      <c r="CF44" s="84"/>
      <c r="CK44" s="84"/>
      <c r="CP44" s="84"/>
      <c r="CS44" s="86"/>
      <c r="CT44" s="84"/>
      <c r="CW44" s="86"/>
      <c r="CX44" s="84"/>
      <c r="DA44" s="86"/>
      <c r="DB44" s="84"/>
      <c r="DE44" s="86"/>
      <c r="DF44" s="84"/>
      <c r="DI44" s="86"/>
      <c r="DJ44" s="84"/>
      <c r="DM44" s="86"/>
      <c r="DN44" s="84"/>
      <c r="DQ44" s="86"/>
      <c r="DR44" s="85"/>
      <c r="DS44" s="85"/>
      <c r="DT44" s="84"/>
      <c r="DV44" s="84"/>
      <c r="DW44" s="157"/>
      <c r="EB44" s="84"/>
      <c r="EG44" s="84"/>
      <c r="EK44" s="84"/>
      <c r="EO44" s="84"/>
      <c r="ES44" s="84"/>
      <c r="EW44" s="84"/>
    </row>
    <row r="45" customFormat="false" ht="12.75" hidden="false" customHeight="false" outlineLevel="0" collapsed="false">
      <c r="A45" s="164"/>
      <c r="E45" s="83"/>
      <c r="J45" s="84"/>
      <c r="N45" s="84"/>
      <c r="R45" s="84"/>
      <c r="V45" s="84"/>
      <c r="Z45" s="84"/>
      <c r="AD45" s="84"/>
      <c r="AH45" s="84"/>
      <c r="AL45" s="84"/>
      <c r="AP45" s="84"/>
      <c r="AT45" s="84"/>
      <c r="AX45" s="84"/>
      <c r="BB45" s="85"/>
      <c r="BC45" s="84"/>
      <c r="BD45" s="84"/>
      <c r="BF45" s="84"/>
      <c r="BL45" s="84"/>
      <c r="BP45" s="86"/>
      <c r="BV45" s="84"/>
      <c r="CA45" s="84"/>
      <c r="CF45" s="84"/>
      <c r="CK45" s="84"/>
      <c r="CP45" s="84"/>
      <c r="CS45" s="86"/>
      <c r="CT45" s="84"/>
      <c r="CW45" s="86"/>
      <c r="CX45" s="84"/>
      <c r="DA45" s="86"/>
      <c r="DB45" s="84"/>
      <c r="DE45" s="86"/>
      <c r="DF45" s="84"/>
      <c r="DI45" s="86"/>
      <c r="DJ45" s="84"/>
      <c r="DM45" s="86"/>
      <c r="DN45" s="84"/>
      <c r="DQ45" s="86"/>
      <c r="DR45" s="85"/>
      <c r="DS45" s="85"/>
      <c r="DT45" s="84"/>
      <c r="DV45" s="84"/>
      <c r="DW45" s="157"/>
      <c r="EB45" s="84"/>
      <c r="EG45" s="84"/>
      <c r="EK45" s="84"/>
      <c r="EO45" s="84"/>
      <c r="ES45" s="84"/>
      <c r="EW45" s="84"/>
    </row>
    <row r="46" customFormat="false" ht="12.75" hidden="false" customHeight="false" outlineLevel="0" collapsed="false">
      <c r="A46" s="164"/>
      <c r="E46" s="83"/>
      <c r="J46" s="84"/>
      <c r="N46" s="84"/>
      <c r="R46" s="84"/>
      <c r="V46" s="84"/>
      <c r="Z46" s="84"/>
      <c r="AD46" s="84"/>
      <c r="AH46" s="84"/>
      <c r="AL46" s="84"/>
      <c r="AP46" s="84"/>
      <c r="AT46" s="84"/>
      <c r="AX46" s="84"/>
      <c r="BB46" s="85"/>
      <c r="BC46" s="84"/>
      <c r="BD46" s="84"/>
      <c r="BF46" s="84"/>
      <c r="BL46" s="84"/>
      <c r="BP46" s="86"/>
      <c r="BV46" s="84"/>
      <c r="CA46" s="84"/>
      <c r="CF46" s="84"/>
      <c r="CK46" s="84"/>
      <c r="CP46" s="84"/>
      <c r="CS46" s="86"/>
      <c r="CT46" s="84"/>
      <c r="CW46" s="86"/>
      <c r="CX46" s="84"/>
      <c r="DA46" s="86"/>
      <c r="DB46" s="84"/>
      <c r="DE46" s="86"/>
      <c r="DF46" s="84"/>
      <c r="DI46" s="86"/>
      <c r="DJ46" s="84"/>
      <c r="DM46" s="86"/>
      <c r="DN46" s="84"/>
      <c r="DQ46" s="86"/>
      <c r="DR46" s="85"/>
      <c r="DS46" s="85"/>
      <c r="DT46" s="84"/>
      <c r="DV46" s="84"/>
      <c r="DW46" s="157"/>
      <c r="EB46" s="84"/>
      <c r="EG46" s="84"/>
      <c r="EK46" s="84"/>
      <c r="EO46" s="84"/>
      <c r="ES46" s="84"/>
      <c r="EW46" s="84"/>
    </row>
    <row r="47" customFormat="false" ht="12.75" hidden="false" customHeight="false" outlineLevel="0" collapsed="false">
      <c r="E47" s="83"/>
      <c r="J47" s="84"/>
      <c r="N47" s="84"/>
      <c r="R47" s="84"/>
      <c r="V47" s="84"/>
      <c r="Z47" s="84"/>
      <c r="AD47" s="84"/>
      <c r="AH47" s="84"/>
      <c r="AL47" s="84"/>
      <c r="AP47" s="84"/>
      <c r="AT47" s="84"/>
      <c r="AX47" s="84"/>
      <c r="BB47" s="85"/>
      <c r="BC47" s="84"/>
      <c r="BD47" s="84"/>
      <c r="BF47" s="84"/>
      <c r="BL47" s="84"/>
      <c r="BP47" s="86"/>
      <c r="BV47" s="84"/>
      <c r="CA47" s="84"/>
      <c r="CF47" s="84"/>
      <c r="CK47" s="84"/>
      <c r="CP47" s="84"/>
      <c r="CS47" s="86"/>
      <c r="CT47" s="84"/>
      <c r="CW47" s="86"/>
      <c r="CX47" s="84"/>
      <c r="DA47" s="86"/>
      <c r="DB47" s="84"/>
      <c r="DE47" s="86"/>
      <c r="DF47" s="84"/>
      <c r="DI47" s="86"/>
      <c r="DJ47" s="84"/>
      <c r="DM47" s="86"/>
      <c r="DN47" s="84"/>
      <c r="DQ47" s="86"/>
      <c r="DR47" s="85"/>
      <c r="DS47" s="85"/>
      <c r="DT47" s="84"/>
      <c r="DV47" s="84"/>
      <c r="DW47" s="157"/>
      <c r="EB47" s="84"/>
      <c r="EG47" s="84"/>
      <c r="EK47" s="84"/>
      <c r="EO47" s="84"/>
      <c r="ES47" s="84"/>
      <c r="EW47" s="84"/>
    </row>
    <row r="48" customFormat="false" ht="12.75" hidden="false" customHeight="false" outlineLevel="0" collapsed="false">
      <c r="E48" s="83"/>
      <c r="J48" s="84"/>
      <c r="N48" s="84"/>
      <c r="R48" s="84"/>
      <c r="V48" s="84"/>
      <c r="Z48" s="84"/>
      <c r="AD48" s="84"/>
      <c r="AH48" s="84"/>
      <c r="AL48" s="84"/>
      <c r="AP48" s="84"/>
      <c r="AT48" s="84"/>
      <c r="AX48" s="84"/>
      <c r="BB48" s="85"/>
      <c r="BC48" s="84"/>
      <c r="BD48" s="84"/>
      <c r="BF48" s="84"/>
      <c r="BL48" s="84"/>
      <c r="BP48" s="86"/>
      <c r="BV48" s="84"/>
      <c r="CA48" s="84"/>
      <c r="CF48" s="84"/>
      <c r="CK48" s="84"/>
      <c r="CP48" s="84"/>
      <c r="CS48" s="86"/>
      <c r="CT48" s="84"/>
      <c r="CW48" s="86"/>
      <c r="CX48" s="84"/>
      <c r="DA48" s="86"/>
      <c r="DB48" s="84"/>
      <c r="DE48" s="86"/>
      <c r="DF48" s="84"/>
      <c r="DI48" s="86"/>
      <c r="DJ48" s="84"/>
      <c r="DM48" s="86"/>
      <c r="DN48" s="84"/>
      <c r="DQ48" s="86"/>
      <c r="DR48" s="85"/>
      <c r="DS48" s="85"/>
      <c r="DT48" s="84"/>
      <c r="DV48" s="84"/>
      <c r="DW48" s="157"/>
      <c r="EB48" s="84"/>
      <c r="EG48" s="84"/>
      <c r="EK48" s="84"/>
      <c r="EO48" s="84"/>
      <c r="ES48" s="84"/>
      <c r="EW48" s="84"/>
    </row>
    <row r="49" customFormat="false" ht="12.75" hidden="false" customHeight="false" outlineLevel="0" collapsed="false">
      <c r="E49" s="83"/>
      <c r="J49" s="84"/>
      <c r="N49" s="84"/>
      <c r="R49" s="84"/>
      <c r="V49" s="84"/>
      <c r="Z49" s="84"/>
      <c r="AD49" s="84"/>
      <c r="AH49" s="84"/>
      <c r="AL49" s="84"/>
      <c r="AP49" s="84"/>
      <c r="AT49" s="84"/>
      <c r="AX49" s="84"/>
      <c r="BB49" s="85"/>
      <c r="BC49" s="84"/>
      <c r="BD49" s="84"/>
      <c r="BF49" s="84"/>
      <c r="BL49" s="84"/>
      <c r="BP49" s="86"/>
      <c r="BV49" s="84"/>
      <c r="CA49" s="84"/>
      <c r="CF49" s="84"/>
      <c r="CK49" s="84"/>
      <c r="CP49" s="84"/>
      <c r="CS49" s="86"/>
      <c r="CT49" s="84"/>
      <c r="CW49" s="86"/>
      <c r="CX49" s="84"/>
      <c r="DA49" s="86"/>
      <c r="DB49" s="84"/>
      <c r="DE49" s="86"/>
      <c r="DF49" s="84"/>
      <c r="DI49" s="86"/>
      <c r="DJ49" s="84"/>
      <c r="DM49" s="86"/>
      <c r="DN49" s="84"/>
      <c r="DQ49" s="86"/>
      <c r="DR49" s="85"/>
      <c r="DS49" s="85"/>
      <c r="DT49" s="84"/>
      <c r="DV49" s="84"/>
      <c r="DW49" s="157"/>
      <c r="EB49" s="84"/>
      <c r="EG49" s="84"/>
      <c r="EK49" s="84"/>
      <c r="EO49" s="84"/>
      <c r="ES49" s="84"/>
      <c r="EW49" s="84"/>
    </row>
    <row r="50" customFormat="false" ht="12.75" hidden="false" customHeight="false" outlineLevel="0" collapsed="false">
      <c r="E50" s="83"/>
      <c r="J50" s="84"/>
      <c r="N50" s="84"/>
      <c r="R50" s="84"/>
      <c r="V50" s="84"/>
      <c r="Z50" s="84"/>
      <c r="AD50" s="84"/>
      <c r="AH50" s="84"/>
      <c r="AL50" s="84"/>
      <c r="AP50" s="84"/>
      <c r="AT50" s="84"/>
      <c r="AX50" s="84"/>
      <c r="BB50" s="85"/>
      <c r="BC50" s="84"/>
      <c r="BD50" s="84"/>
      <c r="BF50" s="84"/>
      <c r="BL50" s="84"/>
      <c r="BP50" s="86"/>
      <c r="BV50" s="84"/>
      <c r="CA50" s="84"/>
      <c r="CF50" s="84"/>
      <c r="CK50" s="84"/>
      <c r="CP50" s="84"/>
      <c r="CS50" s="86"/>
      <c r="CT50" s="84"/>
      <c r="CW50" s="86"/>
      <c r="CX50" s="84"/>
      <c r="DA50" s="86"/>
      <c r="DB50" s="84"/>
      <c r="DE50" s="86"/>
      <c r="DF50" s="84"/>
      <c r="DI50" s="86"/>
      <c r="DJ50" s="84"/>
      <c r="DM50" s="86"/>
      <c r="DN50" s="84"/>
      <c r="DQ50" s="86"/>
      <c r="DR50" s="85"/>
      <c r="DS50" s="85"/>
      <c r="DT50" s="84"/>
      <c r="DV50" s="84"/>
      <c r="DW50" s="157"/>
      <c r="EB50" s="84"/>
      <c r="EG50" s="84"/>
      <c r="EK50" s="84"/>
      <c r="EO50" s="84"/>
      <c r="ES50" s="84"/>
      <c r="EW50" s="84"/>
    </row>
    <row r="51" customFormat="false" ht="12.75" hidden="false" customHeight="false" outlineLevel="0" collapsed="false">
      <c r="E51" s="83"/>
      <c r="J51" s="84"/>
      <c r="N51" s="84"/>
      <c r="R51" s="84"/>
      <c r="V51" s="84"/>
      <c r="Z51" s="84"/>
      <c r="AD51" s="84"/>
      <c r="AH51" s="84"/>
      <c r="AL51" s="84"/>
      <c r="AP51" s="84"/>
      <c r="AT51" s="84"/>
      <c r="AX51" s="84"/>
      <c r="BB51" s="85"/>
      <c r="BC51" s="84"/>
      <c r="BD51" s="84"/>
      <c r="BF51" s="84"/>
      <c r="BL51" s="84"/>
      <c r="BP51" s="86"/>
      <c r="BV51" s="84"/>
      <c r="CA51" s="84"/>
      <c r="CF51" s="84"/>
      <c r="CK51" s="84"/>
      <c r="CP51" s="84"/>
      <c r="CS51" s="86"/>
      <c r="CT51" s="84"/>
      <c r="CW51" s="86"/>
      <c r="CX51" s="84"/>
      <c r="DA51" s="86"/>
      <c r="DB51" s="84"/>
      <c r="DE51" s="86"/>
      <c r="DF51" s="84"/>
      <c r="DI51" s="86"/>
      <c r="DJ51" s="84"/>
      <c r="DM51" s="86"/>
      <c r="DN51" s="84"/>
      <c r="DQ51" s="86"/>
      <c r="DR51" s="85"/>
      <c r="DS51" s="85"/>
      <c r="DT51" s="84"/>
      <c r="DV51" s="84"/>
      <c r="DW51" s="157"/>
      <c r="EB51" s="84"/>
      <c r="EG51" s="84"/>
      <c r="EK51" s="84"/>
      <c r="EO51" s="84"/>
      <c r="ES51" s="84"/>
      <c r="EW51" s="84"/>
    </row>
    <row r="52" customFormat="false" ht="12.75" hidden="false" customHeight="false" outlineLevel="0" collapsed="false">
      <c r="E52" s="83"/>
      <c r="J52" s="84"/>
      <c r="N52" s="84"/>
      <c r="R52" s="84"/>
      <c r="V52" s="84"/>
      <c r="Z52" s="84"/>
      <c r="AD52" s="84"/>
      <c r="AH52" s="84"/>
      <c r="AL52" s="84"/>
      <c r="AP52" s="84"/>
      <c r="AT52" s="84"/>
      <c r="AX52" s="84"/>
      <c r="BB52" s="85"/>
      <c r="BC52" s="84"/>
      <c r="BD52" s="84"/>
      <c r="BF52" s="84"/>
      <c r="BL52" s="84"/>
      <c r="BP52" s="86"/>
      <c r="BV52" s="84"/>
      <c r="CA52" s="84"/>
      <c r="CF52" s="84"/>
      <c r="CK52" s="84"/>
      <c r="CP52" s="84"/>
      <c r="CS52" s="86"/>
      <c r="CT52" s="84"/>
      <c r="CW52" s="86"/>
      <c r="CX52" s="84"/>
      <c r="DA52" s="86"/>
      <c r="DB52" s="84"/>
      <c r="DE52" s="86"/>
      <c r="DF52" s="84"/>
      <c r="DI52" s="86"/>
      <c r="DJ52" s="84"/>
      <c r="DM52" s="86"/>
      <c r="DN52" s="84"/>
      <c r="DQ52" s="86"/>
      <c r="DR52" s="85"/>
      <c r="DS52" s="85"/>
      <c r="DT52" s="84"/>
      <c r="DV52" s="84"/>
      <c r="DW52" s="157"/>
      <c r="EB52" s="84"/>
      <c r="EG52" s="84"/>
      <c r="EK52" s="84"/>
      <c r="EO52" s="84"/>
      <c r="ES52" s="84"/>
      <c r="EW52" s="84"/>
    </row>
    <row r="53" customFormat="false" ht="12.75" hidden="false" customHeight="false" outlineLevel="0" collapsed="false">
      <c r="A53" s="164"/>
      <c r="E53" s="83"/>
      <c r="J53" s="84"/>
      <c r="N53" s="84"/>
      <c r="R53" s="84"/>
      <c r="V53" s="84"/>
      <c r="Z53" s="84"/>
      <c r="AD53" s="84"/>
      <c r="AH53" s="84"/>
      <c r="AL53" s="84"/>
      <c r="AP53" s="84"/>
      <c r="AT53" s="84"/>
      <c r="AX53" s="84"/>
      <c r="BB53" s="85"/>
      <c r="BC53" s="84"/>
      <c r="BD53" s="84"/>
      <c r="BF53" s="84"/>
      <c r="BL53" s="84"/>
      <c r="BP53" s="86"/>
      <c r="BV53" s="84"/>
      <c r="CA53" s="84"/>
      <c r="CF53" s="84"/>
      <c r="CK53" s="84"/>
      <c r="CP53" s="84"/>
      <c r="CS53" s="86"/>
      <c r="CT53" s="84"/>
      <c r="CW53" s="86"/>
      <c r="CX53" s="84"/>
      <c r="DA53" s="86"/>
      <c r="DB53" s="84"/>
      <c r="DE53" s="86"/>
      <c r="DF53" s="84"/>
      <c r="DI53" s="86"/>
      <c r="DJ53" s="84"/>
      <c r="DM53" s="86"/>
      <c r="DN53" s="84"/>
      <c r="DQ53" s="86"/>
      <c r="DR53" s="85"/>
      <c r="DS53" s="85"/>
      <c r="DT53" s="84"/>
      <c r="DV53" s="84"/>
      <c r="DW53" s="157"/>
      <c r="EB53" s="84"/>
      <c r="EG53" s="84"/>
      <c r="EK53" s="84"/>
      <c r="EO53" s="84"/>
      <c r="ES53" s="84"/>
      <c r="EW53" s="84"/>
    </row>
    <row r="54" customFormat="false" ht="12.75" hidden="false" customHeight="false" outlineLevel="0" collapsed="false">
      <c r="A54" s="164"/>
      <c r="E54" s="83"/>
      <c r="J54" s="84"/>
      <c r="N54" s="84"/>
      <c r="R54" s="84"/>
      <c r="V54" s="84"/>
      <c r="Z54" s="84"/>
      <c r="AD54" s="84"/>
      <c r="AH54" s="84"/>
      <c r="AL54" s="84"/>
      <c r="AP54" s="84"/>
      <c r="AT54" s="84"/>
      <c r="AX54" s="84"/>
      <c r="BB54" s="85"/>
      <c r="BC54" s="84"/>
      <c r="BD54" s="84"/>
      <c r="BF54" s="84"/>
      <c r="BL54" s="84"/>
      <c r="BP54" s="86"/>
      <c r="BV54" s="84"/>
      <c r="CA54" s="84"/>
      <c r="CF54" s="84"/>
      <c r="CK54" s="84"/>
      <c r="CP54" s="84"/>
      <c r="CS54" s="86"/>
      <c r="CT54" s="84"/>
      <c r="CW54" s="86"/>
      <c r="CX54" s="84"/>
      <c r="DA54" s="86"/>
      <c r="DB54" s="84"/>
      <c r="DE54" s="86"/>
      <c r="DF54" s="84"/>
      <c r="DI54" s="86"/>
      <c r="DJ54" s="84"/>
      <c r="DM54" s="86"/>
      <c r="DN54" s="84"/>
      <c r="DQ54" s="86"/>
      <c r="DR54" s="85"/>
      <c r="DS54" s="85"/>
      <c r="DT54" s="84"/>
      <c r="DV54" s="84"/>
      <c r="DW54" s="157"/>
      <c r="EB54" s="84"/>
      <c r="EG54" s="84"/>
      <c r="EK54" s="84"/>
      <c r="EO54" s="84"/>
      <c r="ES54" s="84"/>
      <c r="EW54" s="84"/>
    </row>
    <row r="55" customFormat="false" ht="12.75" hidden="false" customHeight="false" outlineLevel="0" collapsed="false">
      <c r="A55" s="164"/>
      <c r="E55" s="83"/>
      <c r="J55" s="84"/>
      <c r="N55" s="84"/>
      <c r="R55" s="84"/>
      <c r="V55" s="84"/>
      <c r="Z55" s="84"/>
      <c r="AD55" s="84"/>
      <c r="AH55" s="84"/>
      <c r="AL55" s="84"/>
      <c r="AP55" s="84"/>
      <c r="AT55" s="84"/>
      <c r="AX55" s="84"/>
      <c r="BB55" s="85"/>
      <c r="BC55" s="84"/>
      <c r="BD55" s="84"/>
      <c r="BF55" s="84"/>
      <c r="BL55" s="84"/>
      <c r="BP55" s="86"/>
      <c r="BV55" s="84"/>
      <c r="CA55" s="84"/>
      <c r="CF55" s="84"/>
      <c r="CK55" s="84"/>
      <c r="CP55" s="84"/>
      <c r="CS55" s="86"/>
      <c r="CT55" s="84"/>
      <c r="CW55" s="86"/>
      <c r="CX55" s="84"/>
      <c r="DA55" s="86"/>
      <c r="DB55" s="84"/>
      <c r="DE55" s="86"/>
      <c r="DF55" s="84"/>
      <c r="DI55" s="86"/>
      <c r="DJ55" s="84"/>
      <c r="DM55" s="86"/>
      <c r="DN55" s="84"/>
      <c r="DQ55" s="86"/>
      <c r="DR55" s="85"/>
      <c r="DS55" s="85"/>
      <c r="DT55" s="84"/>
      <c r="DV55" s="84"/>
      <c r="DW55" s="157"/>
      <c r="EB55" s="84"/>
      <c r="EG55" s="84"/>
      <c r="EK55" s="84"/>
      <c r="EO55" s="84"/>
      <c r="ES55" s="84"/>
      <c r="EW55" s="84"/>
    </row>
    <row r="56" customFormat="false" ht="12.75" hidden="false" customHeight="false" outlineLevel="0" collapsed="false">
      <c r="E56" s="83"/>
      <c r="J56" s="84"/>
      <c r="N56" s="84"/>
      <c r="R56" s="84"/>
      <c r="V56" s="84"/>
      <c r="Z56" s="84"/>
      <c r="AD56" s="84"/>
      <c r="AH56" s="84"/>
      <c r="AL56" s="84"/>
      <c r="AP56" s="84"/>
      <c r="AT56" s="84"/>
      <c r="AX56" s="84"/>
      <c r="BB56" s="85"/>
      <c r="BC56" s="84"/>
      <c r="BD56" s="84"/>
      <c r="BF56" s="84"/>
      <c r="BL56" s="84"/>
      <c r="BP56" s="86"/>
      <c r="BV56" s="84"/>
      <c r="CA56" s="84"/>
      <c r="CF56" s="84"/>
      <c r="CK56" s="84"/>
      <c r="CP56" s="84"/>
      <c r="CS56" s="86"/>
      <c r="CT56" s="84"/>
      <c r="CW56" s="86"/>
      <c r="CX56" s="84"/>
      <c r="DA56" s="86"/>
      <c r="DB56" s="84"/>
      <c r="DE56" s="86"/>
      <c r="DF56" s="84"/>
      <c r="DI56" s="86"/>
      <c r="DJ56" s="84"/>
      <c r="DM56" s="86"/>
      <c r="DN56" s="84"/>
      <c r="DQ56" s="86"/>
      <c r="DR56" s="85"/>
      <c r="DS56" s="85"/>
      <c r="DT56" s="84"/>
      <c r="DV56" s="84"/>
      <c r="DW56" s="157"/>
      <c r="EB56" s="84"/>
      <c r="EG56" s="84"/>
      <c r="EK56" s="84"/>
      <c r="EO56" s="84"/>
      <c r="ES56" s="84"/>
      <c r="EW56" s="84"/>
    </row>
    <row r="57" customFormat="false" ht="12.75" hidden="false" customHeight="false" outlineLevel="0" collapsed="false">
      <c r="A57" s="164"/>
      <c r="E57" s="83"/>
      <c r="J57" s="84"/>
      <c r="N57" s="84"/>
      <c r="R57" s="84"/>
      <c r="V57" s="84"/>
      <c r="Z57" s="84"/>
      <c r="AD57" s="84"/>
      <c r="AH57" s="84"/>
      <c r="AL57" s="84"/>
      <c r="AP57" s="84"/>
      <c r="AT57" s="84"/>
      <c r="AX57" s="84"/>
      <c r="BB57" s="85"/>
      <c r="BC57" s="84"/>
      <c r="BD57" s="84"/>
      <c r="BF57" s="84"/>
      <c r="BL57" s="84"/>
      <c r="BP57" s="86"/>
      <c r="BV57" s="84"/>
      <c r="CA57" s="84"/>
      <c r="CF57" s="84"/>
      <c r="CK57" s="84"/>
      <c r="CP57" s="84"/>
      <c r="CS57" s="86"/>
      <c r="CT57" s="84"/>
      <c r="CW57" s="86"/>
      <c r="CX57" s="84"/>
      <c r="DA57" s="86"/>
      <c r="DB57" s="84"/>
      <c r="DE57" s="86"/>
      <c r="DF57" s="84"/>
      <c r="DI57" s="86"/>
      <c r="DJ57" s="84"/>
      <c r="DM57" s="86"/>
      <c r="DN57" s="84"/>
      <c r="DQ57" s="86"/>
      <c r="DR57" s="85"/>
      <c r="DS57" s="85"/>
      <c r="DT57" s="84"/>
      <c r="DV57" s="84"/>
      <c r="DW57" s="157"/>
      <c r="EB57" s="84"/>
      <c r="EG57" s="84"/>
      <c r="EK57" s="84"/>
      <c r="EO57" s="84"/>
      <c r="ES57" s="84"/>
      <c r="EW57" s="84"/>
    </row>
    <row r="58" customFormat="false" ht="12.75" hidden="false" customHeight="false" outlineLevel="0" collapsed="false">
      <c r="A58" s="164"/>
      <c r="E58" s="83"/>
      <c r="J58" s="84"/>
      <c r="N58" s="84"/>
      <c r="R58" s="84"/>
      <c r="V58" s="84"/>
      <c r="Z58" s="84"/>
      <c r="AD58" s="84"/>
      <c r="AH58" s="84"/>
      <c r="AL58" s="84"/>
      <c r="AP58" s="84"/>
      <c r="AT58" s="84"/>
      <c r="AX58" s="84"/>
      <c r="BB58" s="85"/>
      <c r="BC58" s="84"/>
      <c r="BD58" s="84"/>
      <c r="BF58" s="84"/>
      <c r="BL58" s="84"/>
      <c r="BP58" s="86"/>
      <c r="BV58" s="84"/>
      <c r="CA58" s="84"/>
      <c r="CF58" s="84"/>
      <c r="CK58" s="84"/>
      <c r="CP58" s="84"/>
      <c r="CS58" s="86"/>
      <c r="CT58" s="84"/>
      <c r="CW58" s="86"/>
      <c r="CX58" s="84"/>
      <c r="DA58" s="86"/>
      <c r="DB58" s="84"/>
      <c r="DE58" s="86"/>
      <c r="DF58" s="84"/>
      <c r="DI58" s="86"/>
      <c r="DJ58" s="84"/>
      <c r="DM58" s="86"/>
      <c r="DN58" s="84"/>
      <c r="DQ58" s="86"/>
      <c r="DR58" s="85"/>
      <c r="DS58" s="85"/>
      <c r="DT58" s="84"/>
      <c r="DV58" s="84"/>
      <c r="DW58" s="157"/>
      <c r="EB58" s="84"/>
      <c r="EG58" s="84"/>
      <c r="EK58" s="84"/>
      <c r="EO58" s="84"/>
      <c r="ES58" s="84"/>
      <c r="EW58" s="84"/>
    </row>
    <row r="59" customFormat="false" ht="12.75" hidden="false" customHeight="false" outlineLevel="0" collapsed="false">
      <c r="A59" s="164"/>
      <c r="E59" s="83"/>
      <c r="J59" s="84"/>
      <c r="N59" s="84"/>
      <c r="R59" s="84"/>
      <c r="V59" s="84"/>
      <c r="Z59" s="84"/>
      <c r="AD59" s="84"/>
      <c r="AH59" s="84"/>
      <c r="AL59" s="84"/>
      <c r="AP59" s="84"/>
      <c r="AT59" s="84"/>
      <c r="AX59" s="84"/>
      <c r="BB59" s="85"/>
      <c r="BC59" s="84"/>
      <c r="BD59" s="84"/>
      <c r="BF59" s="84"/>
      <c r="BL59" s="84"/>
      <c r="BP59" s="86"/>
      <c r="BV59" s="84"/>
      <c r="CA59" s="84"/>
      <c r="CF59" s="84"/>
      <c r="CK59" s="84"/>
      <c r="CP59" s="84"/>
      <c r="CS59" s="86"/>
      <c r="CT59" s="84"/>
      <c r="CW59" s="86"/>
      <c r="CX59" s="84"/>
      <c r="DA59" s="86"/>
      <c r="DB59" s="84"/>
      <c r="DE59" s="86"/>
      <c r="DF59" s="84"/>
      <c r="DI59" s="86"/>
      <c r="DJ59" s="84"/>
      <c r="DM59" s="86"/>
      <c r="DN59" s="84"/>
      <c r="DQ59" s="86"/>
      <c r="DR59" s="85"/>
      <c r="DS59" s="85"/>
      <c r="DT59" s="84"/>
      <c r="DV59" s="84"/>
      <c r="DW59" s="157"/>
      <c r="EB59" s="84"/>
      <c r="EG59" s="84"/>
      <c r="EK59" s="84"/>
      <c r="EO59" s="84"/>
      <c r="ES59" s="84"/>
      <c r="EW59" s="84"/>
    </row>
    <row r="60" customFormat="false" ht="12.75" hidden="false" customHeight="false" outlineLevel="0" collapsed="false">
      <c r="E60" s="83"/>
      <c r="J60" s="84"/>
      <c r="N60" s="84"/>
      <c r="R60" s="84"/>
      <c r="V60" s="84"/>
      <c r="Z60" s="84"/>
      <c r="AD60" s="84"/>
      <c r="AH60" s="84"/>
      <c r="AL60" s="84"/>
      <c r="AP60" s="84"/>
      <c r="AT60" s="84"/>
      <c r="AX60" s="84"/>
      <c r="BB60" s="85"/>
      <c r="BC60" s="84"/>
      <c r="BD60" s="84"/>
      <c r="BF60" s="84"/>
      <c r="BL60" s="84"/>
      <c r="BP60" s="86"/>
      <c r="BV60" s="84"/>
      <c r="CA60" s="84"/>
      <c r="CF60" s="84"/>
      <c r="CK60" s="84"/>
      <c r="CP60" s="84"/>
      <c r="CS60" s="86"/>
      <c r="CT60" s="84"/>
      <c r="CW60" s="86"/>
      <c r="CX60" s="84"/>
      <c r="DA60" s="86"/>
      <c r="DB60" s="84"/>
      <c r="DE60" s="86"/>
      <c r="DF60" s="84"/>
      <c r="DI60" s="86"/>
      <c r="DJ60" s="84"/>
      <c r="DM60" s="86"/>
      <c r="DN60" s="84"/>
      <c r="DQ60" s="86"/>
      <c r="DR60" s="85"/>
      <c r="DS60" s="85"/>
      <c r="DT60" s="84"/>
      <c r="DV60" s="84"/>
      <c r="DW60" s="157"/>
      <c r="EB60" s="84"/>
      <c r="EG60" s="84"/>
      <c r="EK60" s="84"/>
      <c r="EO60" s="84"/>
      <c r="ES60" s="84"/>
      <c r="EW60" s="84"/>
    </row>
    <row r="61" customFormat="false" ht="12.75" hidden="false" customHeight="false" outlineLevel="0" collapsed="false">
      <c r="A61" s="164"/>
      <c r="E61" s="83"/>
      <c r="J61" s="84"/>
      <c r="N61" s="84"/>
      <c r="R61" s="84"/>
      <c r="V61" s="84"/>
      <c r="Z61" s="84"/>
      <c r="AD61" s="84"/>
      <c r="AH61" s="84"/>
      <c r="AL61" s="84"/>
      <c r="AP61" s="84"/>
      <c r="AT61" s="84"/>
      <c r="AX61" s="84"/>
      <c r="BB61" s="85"/>
      <c r="BC61" s="84"/>
      <c r="BD61" s="84"/>
      <c r="BF61" s="84"/>
      <c r="BL61" s="84"/>
      <c r="BP61" s="86"/>
      <c r="BV61" s="84"/>
      <c r="CA61" s="84"/>
      <c r="CF61" s="84"/>
      <c r="CK61" s="84"/>
      <c r="CP61" s="84"/>
      <c r="CS61" s="86"/>
      <c r="CT61" s="84"/>
      <c r="CW61" s="86"/>
      <c r="CX61" s="84"/>
      <c r="DA61" s="86"/>
      <c r="DB61" s="84"/>
      <c r="DE61" s="86"/>
      <c r="DF61" s="84"/>
      <c r="DI61" s="86"/>
      <c r="DJ61" s="84"/>
      <c r="DM61" s="86"/>
      <c r="DN61" s="84"/>
      <c r="DQ61" s="86"/>
      <c r="DR61" s="85"/>
      <c r="DS61" s="85"/>
      <c r="DT61" s="84"/>
      <c r="DV61" s="84"/>
      <c r="DW61" s="157"/>
      <c r="EB61" s="84"/>
      <c r="EG61" s="84"/>
      <c r="EK61" s="84"/>
      <c r="EO61" s="84"/>
      <c r="ES61" s="84"/>
      <c r="EW61" s="84"/>
    </row>
    <row r="62" customFormat="false" ht="12.75" hidden="false" customHeight="false" outlineLevel="0" collapsed="false">
      <c r="A62" s="164"/>
      <c r="E62" s="83"/>
      <c r="J62" s="84"/>
      <c r="N62" s="84"/>
      <c r="R62" s="84"/>
      <c r="V62" s="84"/>
      <c r="Z62" s="84"/>
      <c r="AD62" s="84"/>
      <c r="AH62" s="84"/>
      <c r="AL62" s="84"/>
      <c r="AP62" s="84"/>
      <c r="AT62" s="84"/>
      <c r="AX62" s="84"/>
      <c r="BB62" s="85"/>
      <c r="BC62" s="84"/>
      <c r="BD62" s="84"/>
      <c r="BF62" s="84"/>
      <c r="BL62" s="84"/>
      <c r="BP62" s="86"/>
      <c r="BV62" s="84"/>
      <c r="CA62" s="84"/>
      <c r="CF62" s="84"/>
      <c r="CK62" s="84"/>
      <c r="CP62" s="84"/>
      <c r="CS62" s="86"/>
      <c r="CT62" s="84"/>
      <c r="CW62" s="86"/>
      <c r="CX62" s="84"/>
      <c r="DA62" s="86"/>
      <c r="DB62" s="84"/>
      <c r="DE62" s="86"/>
      <c r="DF62" s="84"/>
      <c r="DI62" s="86"/>
      <c r="DJ62" s="84"/>
      <c r="DM62" s="86"/>
      <c r="DN62" s="84"/>
      <c r="DQ62" s="86"/>
      <c r="DR62" s="85"/>
      <c r="DS62" s="85"/>
      <c r="DT62" s="84"/>
      <c r="DV62" s="84"/>
      <c r="DW62" s="157"/>
      <c r="EB62" s="84"/>
      <c r="EG62" s="84"/>
      <c r="EK62" s="84"/>
      <c r="EO62" s="84"/>
      <c r="ES62" s="84"/>
      <c r="EW62" s="84"/>
    </row>
    <row r="63" customFormat="false" ht="12.75" hidden="false" customHeight="false" outlineLevel="0" collapsed="false">
      <c r="A63" s="164"/>
      <c r="E63" s="83"/>
      <c r="J63" s="84"/>
      <c r="N63" s="84"/>
      <c r="R63" s="84"/>
      <c r="V63" s="84"/>
      <c r="Z63" s="84"/>
      <c r="AD63" s="84"/>
      <c r="AH63" s="84"/>
      <c r="AL63" s="84"/>
      <c r="AP63" s="84"/>
      <c r="AT63" s="84"/>
      <c r="AX63" s="84"/>
      <c r="BB63" s="85"/>
      <c r="BC63" s="84"/>
      <c r="BD63" s="84"/>
      <c r="BF63" s="84"/>
      <c r="BL63" s="84"/>
      <c r="BP63" s="86"/>
      <c r="BV63" s="84"/>
      <c r="CA63" s="84"/>
      <c r="CF63" s="84"/>
      <c r="CK63" s="84"/>
      <c r="CP63" s="84"/>
      <c r="CS63" s="86"/>
      <c r="CT63" s="84"/>
      <c r="CW63" s="86"/>
      <c r="CX63" s="84"/>
      <c r="DA63" s="86"/>
      <c r="DB63" s="84"/>
      <c r="DE63" s="86"/>
      <c r="DF63" s="84"/>
      <c r="DI63" s="86"/>
      <c r="DJ63" s="84"/>
      <c r="DM63" s="86"/>
      <c r="DN63" s="84"/>
      <c r="DQ63" s="86"/>
      <c r="DR63" s="85"/>
      <c r="DS63" s="85"/>
      <c r="DT63" s="84"/>
      <c r="DV63" s="84"/>
      <c r="DW63" s="157"/>
      <c r="EB63" s="84"/>
      <c r="EG63" s="84"/>
      <c r="EK63" s="84"/>
      <c r="EO63" s="84"/>
      <c r="ES63" s="84"/>
      <c r="EW63" s="84"/>
    </row>
    <row r="64" customFormat="false" ht="12.75" hidden="false" customHeight="false" outlineLevel="0" collapsed="false">
      <c r="E64" s="83"/>
      <c r="J64" s="84"/>
      <c r="N64" s="84"/>
      <c r="R64" s="84"/>
      <c r="V64" s="84"/>
      <c r="Z64" s="84"/>
      <c r="AD64" s="84"/>
      <c r="AH64" s="84"/>
      <c r="AL64" s="84"/>
      <c r="AP64" s="84"/>
      <c r="AT64" s="84"/>
      <c r="AX64" s="84"/>
      <c r="BB64" s="85"/>
      <c r="BC64" s="84"/>
      <c r="BD64" s="84"/>
      <c r="BF64" s="84"/>
      <c r="BL64" s="84"/>
      <c r="BP64" s="86"/>
      <c r="BV64" s="84"/>
      <c r="CA64" s="84"/>
      <c r="CF64" s="84"/>
      <c r="CK64" s="84"/>
      <c r="CP64" s="84"/>
      <c r="CS64" s="86"/>
      <c r="CT64" s="84"/>
      <c r="CW64" s="86"/>
      <c r="CX64" s="84"/>
      <c r="DA64" s="86"/>
      <c r="DB64" s="84"/>
      <c r="DE64" s="86"/>
      <c r="DF64" s="84"/>
      <c r="DI64" s="86"/>
      <c r="DJ64" s="84"/>
      <c r="DM64" s="86"/>
      <c r="DN64" s="84"/>
      <c r="DQ64" s="86"/>
      <c r="DR64" s="85"/>
      <c r="DS64" s="85"/>
      <c r="DT64" s="84"/>
      <c r="DV64" s="84"/>
      <c r="DW64" s="157"/>
      <c r="EB64" s="84"/>
      <c r="EG64" s="84"/>
      <c r="EK64" s="84"/>
      <c r="EO64" s="84"/>
      <c r="ES64" s="84"/>
      <c r="EW64" s="84"/>
    </row>
    <row r="65" customFormat="false" ht="12.75" hidden="false" customHeight="false" outlineLevel="0" collapsed="false">
      <c r="A65" s="164"/>
      <c r="E65" s="83"/>
      <c r="J65" s="84"/>
      <c r="N65" s="84"/>
      <c r="R65" s="84"/>
      <c r="V65" s="84"/>
      <c r="Z65" s="84"/>
      <c r="AD65" s="84"/>
      <c r="AH65" s="84"/>
      <c r="AL65" s="84"/>
      <c r="AP65" s="84"/>
      <c r="AT65" s="84"/>
      <c r="AX65" s="84"/>
      <c r="BB65" s="85"/>
      <c r="BC65" s="84"/>
      <c r="BD65" s="84"/>
      <c r="BF65" s="84"/>
      <c r="BL65" s="84"/>
      <c r="BP65" s="86"/>
      <c r="BV65" s="84"/>
      <c r="CA65" s="84"/>
      <c r="CF65" s="84"/>
      <c r="CK65" s="84"/>
      <c r="CP65" s="84"/>
      <c r="CS65" s="86"/>
      <c r="CT65" s="84"/>
      <c r="CW65" s="86"/>
      <c r="CX65" s="84"/>
      <c r="DA65" s="86"/>
      <c r="DB65" s="84"/>
      <c r="DE65" s="86"/>
      <c r="DF65" s="84"/>
      <c r="DI65" s="86"/>
      <c r="DJ65" s="84"/>
      <c r="DM65" s="86"/>
      <c r="DN65" s="84"/>
      <c r="DQ65" s="86"/>
      <c r="DR65" s="85"/>
      <c r="DS65" s="85"/>
      <c r="DT65" s="84"/>
      <c r="DV65" s="84"/>
      <c r="DW65" s="157"/>
      <c r="EB65" s="84"/>
      <c r="EG65" s="84"/>
      <c r="EK65" s="84"/>
      <c r="EO65" s="84"/>
      <c r="ES65" s="84"/>
      <c r="EW65" s="84"/>
    </row>
    <row r="66" customFormat="false" ht="12.75" hidden="false" customHeight="false" outlineLevel="0" collapsed="false">
      <c r="A66" s="164"/>
      <c r="E66" s="83"/>
      <c r="J66" s="84"/>
      <c r="N66" s="84"/>
      <c r="R66" s="84"/>
      <c r="V66" s="84"/>
      <c r="Z66" s="84"/>
      <c r="AD66" s="84"/>
      <c r="AH66" s="84"/>
      <c r="AL66" s="84"/>
      <c r="AP66" s="84"/>
      <c r="AT66" s="84"/>
      <c r="AX66" s="84"/>
      <c r="BB66" s="85"/>
      <c r="BC66" s="84"/>
      <c r="BD66" s="84"/>
      <c r="BF66" s="84"/>
      <c r="BL66" s="84"/>
      <c r="BP66" s="86"/>
      <c r="BV66" s="84"/>
      <c r="CA66" s="84"/>
      <c r="CF66" s="84"/>
      <c r="CK66" s="84"/>
      <c r="CP66" s="84"/>
      <c r="CS66" s="86"/>
      <c r="CT66" s="84"/>
      <c r="CW66" s="86"/>
      <c r="CX66" s="84"/>
      <c r="DA66" s="86"/>
      <c r="DB66" s="84"/>
      <c r="DE66" s="86"/>
      <c r="DF66" s="84"/>
      <c r="DI66" s="86"/>
      <c r="DJ66" s="84"/>
      <c r="DM66" s="86"/>
      <c r="DN66" s="84"/>
      <c r="DQ66" s="86"/>
      <c r="DR66" s="85"/>
      <c r="DS66" s="85"/>
      <c r="DT66" s="84"/>
      <c r="DV66" s="84"/>
      <c r="DW66" s="157"/>
      <c r="EB66" s="84"/>
      <c r="EG66" s="84"/>
      <c r="EK66" s="84"/>
      <c r="EO66" s="84"/>
      <c r="ES66" s="84"/>
      <c r="EW66" s="84"/>
    </row>
    <row r="67" customFormat="false" ht="12.75" hidden="false" customHeight="false" outlineLevel="0" collapsed="false">
      <c r="A67" s="164"/>
      <c r="E67" s="83"/>
      <c r="J67" s="84"/>
      <c r="N67" s="84"/>
      <c r="R67" s="84"/>
      <c r="V67" s="84"/>
      <c r="Z67" s="84"/>
      <c r="AD67" s="84"/>
      <c r="AH67" s="84"/>
      <c r="AL67" s="84"/>
      <c r="AP67" s="84"/>
      <c r="AT67" s="84"/>
      <c r="AX67" s="84"/>
      <c r="BB67" s="85"/>
      <c r="BC67" s="84"/>
      <c r="BD67" s="84"/>
      <c r="BF67" s="84"/>
      <c r="BL67" s="84"/>
      <c r="BP67" s="86"/>
      <c r="BV67" s="84"/>
      <c r="CA67" s="84"/>
      <c r="CF67" s="84"/>
      <c r="CK67" s="84"/>
      <c r="CP67" s="84"/>
      <c r="CS67" s="86"/>
      <c r="CT67" s="84"/>
      <c r="CW67" s="86"/>
      <c r="CX67" s="84"/>
      <c r="DA67" s="86"/>
      <c r="DB67" s="84"/>
      <c r="DE67" s="86"/>
      <c r="DF67" s="84"/>
      <c r="DI67" s="86"/>
      <c r="DJ67" s="84"/>
      <c r="DM67" s="86"/>
      <c r="DN67" s="84"/>
      <c r="DQ67" s="86"/>
      <c r="DR67" s="85"/>
      <c r="DS67" s="85"/>
      <c r="DT67" s="84"/>
      <c r="DV67" s="84"/>
      <c r="DW67" s="157"/>
      <c r="EB67" s="84"/>
      <c r="EG67" s="84"/>
      <c r="EK67" s="84"/>
      <c r="EO67" s="84"/>
      <c r="ES67" s="84"/>
      <c r="EW67" s="84"/>
    </row>
    <row r="68" customFormat="false" ht="12.75" hidden="false" customHeight="false" outlineLevel="0" collapsed="false">
      <c r="A68" s="37"/>
      <c r="E68" s="83"/>
      <c r="J68" s="84"/>
      <c r="N68" s="84"/>
      <c r="R68" s="84"/>
      <c r="V68" s="84"/>
      <c r="Z68" s="84"/>
      <c r="AD68" s="84"/>
      <c r="AH68" s="84"/>
      <c r="AL68" s="84"/>
      <c r="AP68" s="84"/>
      <c r="AT68" s="84"/>
      <c r="AX68" s="84"/>
      <c r="BB68" s="85"/>
      <c r="BC68" s="84"/>
      <c r="BD68" s="84"/>
      <c r="BF68" s="84"/>
      <c r="BL68" s="84"/>
      <c r="BP68" s="86"/>
      <c r="BV68" s="84"/>
      <c r="CA68" s="84"/>
      <c r="CF68" s="84"/>
      <c r="CK68" s="84"/>
      <c r="CP68" s="84"/>
      <c r="CS68" s="86"/>
      <c r="CT68" s="84"/>
      <c r="CW68" s="86"/>
      <c r="CX68" s="84"/>
      <c r="DA68" s="86"/>
      <c r="DB68" s="84"/>
      <c r="DE68" s="86"/>
      <c r="DF68" s="84"/>
      <c r="DI68" s="86"/>
      <c r="DJ68" s="84"/>
      <c r="DM68" s="86"/>
      <c r="DN68" s="84"/>
      <c r="DQ68" s="86"/>
      <c r="DR68" s="85"/>
      <c r="DS68" s="85"/>
      <c r="DT68" s="84"/>
      <c r="DV68" s="84"/>
      <c r="DW68" s="157"/>
      <c r="EB68" s="84"/>
      <c r="EG68" s="84"/>
      <c r="EK68" s="84"/>
      <c r="EO68" s="84"/>
      <c r="ES68" s="84"/>
      <c r="EW68" s="84"/>
    </row>
    <row r="69" customFormat="false" ht="12.75" hidden="false" customHeight="false" outlineLevel="0" collapsed="false">
      <c r="A69" s="37"/>
      <c r="E69" s="83"/>
      <c r="J69" s="84"/>
      <c r="N69" s="84"/>
      <c r="R69" s="84"/>
      <c r="V69" s="84"/>
      <c r="Z69" s="84"/>
      <c r="AD69" s="84"/>
      <c r="AH69" s="84"/>
      <c r="AL69" s="84"/>
      <c r="AP69" s="84"/>
      <c r="AT69" s="84"/>
      <c r="AX69" s="84"/>
      <c r="BB69" s="85"/>
      <c r="BC69" s="84"/>
      <c r="BD69" s="84"/>
      <c r="BF69" s="84"/>
      <c r="BL69" s="84"/>
      <c r="BP69" s="86"/>
      <c r="BV69" s="84"/>
      <c r="CA69" s="84"/>
      <c r="CF69" s="84"/>
      <c r="CK69" s="84"/>
      <c r="CP69" s="84"/>
      <c r="CS69" s="86"/>
      <c r="CT69" s="84"/>
      <c r="CW69" s="86"/>
      <c r="CX69" s="84"/>
      <c r="DA69" s="86"/>
      <c r="DB69" s="84"/>
      <c r="DE69" s="86"/>
      <c r="DF69" s="84"/>
      <c r="DI69" s="86"/>
      <c r="DJ69" s="84"/>
      <c r="DM69" s="86"/>
      <c r="DN69" s="84"/>
      <c r="DQ69" s="86"/>
      <c r="DR69" s="85"/>
      <c r="DS69" s="85"/>
      <c r="DT69" s="84"/>
      <c r="DV69" s="84"/>
      <c r="DW69" s="157"/>
      <c r="EB69" s="84"/>
      <c r="EG69" s="84"/>
      <c r="EK69" s="84"/>
      <c r="EO69" s="84"/>
      <c r="ES69" s="84"/>
      <c r="EW69" s="84"/>
    </row>
    <row r="70" customFormat="false" ht="12.75" hidden="false" customHeight="false" outlineLevel="0" collapsed="false">
      <c r="A70" s="37"/>
      <c r="E70" s="83"/>
      <c r="J70" s="84"/>
      <c r="N70" s="84"/>
      <c r="R70" s="84"/>
      <c r="V70" s="84"/>
      <c r="Z70" s="84"/>
      <c r="AD70" s="84"/>
      <c r="AH70" s="84"/>
      <c r="AL70" s="84"/>
      <c r="AP70" s="84"/>
      <c r="AT70" s="84"/>
      <c r="AX70" s="84"/>
      <c r="BB70" s="85"/>
      <c r="BC70" s="84"/>
      <c r="BD70" s="84"/>
      <c r="BF70" s="84"/>
      <c r="BL70" s="84"/>
      <c r="BP70" s="86"/>
      <c r="BV70" s="84"/>
      <c r="CA70" s="84"/>
      <c r="CF70" s="84"/>
      <c r="CK70" s="84"/>
      <c r="CP70" s="84"/>
      <c r="CS70" s="86"/>
      <c r="CT70" s="84"/>
      <c r="CW70" s="86"/>
      <c r="CX70" s="84"/>
      <c r="DA70" s="86"/>
      <c r="DB70" s="84"/>
      <c r="DE70" s="86"/>
      <c r="DF70" s="84"/>
      <c r="DI70" s="86"/>
      <c r="DJ70" s="84"/>
      <c r="DM70" s="86"/>
      <c r="DN70" s="84"/>
      <c r="DQ70" s="86"/>
      <c r="DR70" s="85"/>
      <c r="DS70" s="85"/>
      <c r="DT70" s="84"/>
      <c r="DV70" s="84"/>
      <c r="DW70" s="157"/>
      <c r="EB70" s="84"/>
      <c r="EG70" s="84"/>
      <c r="EK70" s="84"/>
      <c r="EO70" s="84"/>
      <c r="ES70" s="84"/>
      <c r="EW70" s="84"/>
    </row>
    <row r="71" customFormat="false" ht="12.75" hidden="false" customHeight="false" outlineLevel="0" collapsed="false">
      <c r="A71" s="37"/>
      <c r="E71" s="83"/>
      <c r="J71" s="84"/>
      <c r="N71" s="84"/>
      <c r="R71" s="84"/>
      <c r="V71" s="84"/>
      <c r="Z71" s="84"/>
      <c r="AD71" s="84"/>
      <c r="AH71" s="84"/>
      <c r="AL71" s="84"/>
      <c r="AP71" s="84"/>
      <c r="AT71" s="84"/>
      <c r="AX71" s="84"/>
      <c r="BB71" s="85"/>
      <c r="BC71" s="84"/>
      <c r="BD71" s="84"/>
      <c r="BF71" s="84"/>
      <c r="BL71" s="84"/>
      <c r="BP71" s="86"/>
      <c r="BV71" s="84"/>
      <c r="CA71" s="84"/>
      <c r="CF71" s="84"/>
      <c r="CK71" s="84"/>
      <c r="CP71" s="84"/>
      <c r="CS71" s="86"/>
      <c r="CT71" s="84"/>
      <c r="CW71" s="86"/>
      <c r="CX71" s="84"/>
      <c r="DA71" s="86"/>
      <c r="DB71" s="84"/>
      <c r="DE71" s="86"/>
      <c r="DF71" s="84"/>
      <c r="DI71" s="86"/>
      <c r="DJ71" s="84"/>
      <c r="DM71" s="86"/>
      <c r="DN71" s="84"/>
      <c r="DQ71" s="86"/>
      <c r="DR71" s="85"/>
      <c r="DS71" s="85"/>
      <c r="DT71" s="84"/>
      <c r="DV71" s="84"/>
      <c r="DW71" s="157"/>
      <c r="EB71" s="84"/>
      <c r="EG71" s="84"/>
      <c r="EK71" s="84"/>
      <c r="EO71" s="84"/>
      <c r="ES71" s="84"/>
      <c r="EW71" s="84"/>
    </row>
    <row r="72" customFormat="false" ht="12.75" hidden="false" customHeight="false" outlineLevel="0" collapsed="false">
      <c r="A72" s="37"/>
      <c r="E72" s="83"/>
      <c r="J72" s="84"/>
      <c r="N72" s="84"/>
      <c r="R72" s="84"/>
      <c r="V72" s="84"/>
      <c r="Z72" s="84"/>
      <c r="AD72" s="84"/>
      <c r="AH72" s="84"/>
      <c r="AL72" s="84"/>
      <c r="AP72" s="84"/>
      <c r="AT72" s="84"/>
      <c r="AX72" s="84"/>
      <c r="BB72" s="85"/>
      <c r="BC72" s="84"/>
      <c r="BD72" s="84"/>
      <c r="BF72" s="84"/>
      <c r="BL72" s="84"/>
      <c r="BP72" s="86"/>
      <c r="BV72" s="84"/>
      <c r="CA72" s="84"/>
      <c r="CF72" s="84"/>
      <c r="CK72" s="84"/>
      <c r="CP72" s="84"/>
      <c r="CS72" s="86"/>
      <c r="CT72" s="84"/>
      <c r="CW72" s="86"/>
      <c r="CX72" s="84"/>
      <c r="DA72" s="86"/>
      <c r="DB72" s="84"/>
      <c r="DE72" s="86"/>
      <c r="DF72" s="84"/>
      <c r="DI72" s="86"/>
      <c r="DJ72" s="84"/>
      <c r="DM72" s="86"/>
      <c r="DN72" s="84"/>
      <c r="DQ72" s="86"/>
      <c r="DR72" s="85"/>
      <c r="DS72" s="85"/>
      <c r="DT72" s="84"/>
      <c r="DV72" s="84"/>
      <c r="DW72" s="157"/>
      <c r="EB72" s="84"/>
      <c r="EG72" s="84"/>
      <c r="EK72" s="84"/>
      <c r="EO72" s="84"/>
      <c r="ES72" s="84"/>
      <c r="EW72" s="84"/>
    </row>
    <row r="73" customFormat="false" ht="12.75" hidden="false" customHeight="false" outlineLevel="0" collapsed="false">
      <c r="A73" s="37"/>
      <c r="E73" s="83"/>
      <c r="J73" s="84"/>
      <c r="N73" s="84"/>
      <c r="R73" s="84"/>
      <c r="V73" s="84"/>
      <c r="Z73" s="84"/>
      <c r="AD73" s="84"/>
      <c r="AH73" s="84"/>
      <c r="AL73" s="84"/>
      <c r="AP73" s="84"/>
      <c r="AT73" s="84"/>
      <c r="AX73" s="84"/>
      <c r="BB73" s="85"/>
      <c r="BC73" s="84"/>
      <c r="BD73" s="84"/>
      <c r="BF73" s="84"/>
      <c r="BL73" s="84"/>
      <c r="BP73" s="86"/>
      <c r="BV73" s="84"/>
      <c r="CA73" s="84"/>
      <c r="CF73" s="84"/>
      <c r="CK73" s="84"/>
      <c r="CP73" s="84"/>
      <c r="CS73" s="86"/>
      <c r="CT73" s="84"/>
      <c r="CW73" s="86"/>
      <c r="CX73" s="84"/>
      <c r="DA73" s="86"/>
      <c r="DB73" s="84"/>
      <c r="DE73" s="86"/>
      <c r="DF73" s="84"/>
      <c r="DI73" s="86"/>
      <c r="DJ73" s="84"/>
      <c r="DM73" s="86"/>
      <c r="DN73" s="84"/>
      <c r="DQ73" s="86"/>
      <c r="DR73" s="85"/>
      <c r="DS73" s="85"/>
      <c r="DT73" s="84"/>
      <c r="DV73" s="84"/>
      <c r="DW73" s="157"/>
      <c r="EB73" s="84"/>
      <c r="EG73" s="84"/>
      <c r="EK73" s="84"/>
      <c r="EO73" s="84"/>
      <c r="ES73" s="84"/>
      <c r="EW73" s="84"/>
    </row>
    <row r="74" customFormat="false" ht="12.75" hidden="false" customHeight="false" outlineLevel="0" collapsed="false">
      <c r="A74" s="37"/>
      <c r="E74" s="83"/>
      <c r="J74" s="84"/>
      <c r="N74" s="84"/>
      <c r="R74" s="84"/>
      <c r="V74" s="84"/>
      <c r="Z74" s="84"/>
      <c r="AD74" s="84"/>
      <c r="AH74" s="84"/>
      <c r="AL74" s="84"/>
      <c r="AP74" s="84"/>
      <c r="AT74" s="84"/>
      <c r="AX74" s="84"/>
      <c r="BB74" s="85"/>
      <c r="BC74" s="84"/>
      <c r="BD74" s="84"/>
      <c r="BF74" s="84"/>
      <c r="BL74" s="84"/>
      <c r="BP74" s="86"/>
      <c r="BV74" s="84"/>
      <c r="CA74" s="84"/>
      <c r="CF74" s="84"/>
      <c r="CK74" s="84"/>
      <c r="CP74" s="84"/>
      <c r="CS74" s="86"/>
      <c r="CT74" s="84"/>
      <c r="CW74" s="86"/>
      <c r="CX74" s="84"/>
      <c r="DA74" s="86"/>
      <c r="DB74" s="84"/>
      <c r="DE74" s="86"/>
      <c r="DF74" s="84"/>
      <c r="DI74" s="86"/>
      <c r="DJ74" s="84"/>
      <c r="DM74" s="86"/>
      <c r="DN74" s="84"/>
      <c r="DQ74" s="86"/>
      <c r="DR74" s="85"/>
      <c r="DS74" s="85"/>
      <c r="DT74" s="84"/>
      <c r="DV74" s="84"/>
      <c r="DW74" s="157"/>
      <c r="EB74" s="84"/>
      <c r="EG74" s="84"/>
      <c r="EK74" s="84"/>
      <c r="EO74" s="84"/>
      <c r="ES74" s="84"/>
      <c r="EW74" s="84"/>
    </row>
    <row r="75" customFormat="false" ht="12.75" hidden="false" customHeight="false" outlineLevel="0" collapsed="false">
      <c r="A75" s="37"/>
      <c r="E75" s="83"/>
      <c r="J75" s="84"/>
      <c r="N75" s="84"/>
      <c r="R75" s="84"/>
      <c r="V75" s="84"/>
      <c r="Z75" s="84"/>
      <c r="AD75" s="84"/>
      <c r="AH75" s="84"/>
      <c r="AL75" s="84"/>
      <c r="AP75" s="84"/>
      <c r="AT75" s="84"/>
      <c r="AX75" s="84"/>
      <c r="BB75" s="85"/>
      <c r="BC75" s="84"/>
      <c r="BD75" s="84"/>
      <c r="BF75" s="84"/>
      <c r="BL75" s="84"/>
      <c r="BP75" s="86"/>
      <c r="BV75" s="84"/>
      <c r="CA75" s="84"/>
      <c r="CF75" s="84"/>
      <c r="CK75" s="84"/>
      <c r="CP75" s="84"/>
      <c r="CS75" s="86"/>
      <c r="CT75" s="84"/>
      <c r="CW75" s="86"/>
      <c r="CX75" s="84"/>
      <c r="DA75" s="86"/>
      <c r="DB75" s="84"/>
      <c r="DE75" s="86"/>
      <c r="DF75" s="84"/>
      <c r="DI75" s="86"/>
      <c r="DJ75" s="84"/>
      <c r="DM75" s="86"/>
      <c r="DN75" s="84"/>
      <c r="DQ75" s="86"/>
      <c r="DR75" s="85"/>
      <c r="DS75" s="85"/>
      <c r="DT75" s="84"/>
      <c r="DV75" s="84"/>
      <c r="DW75" s="157"/>
      <c r="EB75" s="84"/>
      <c r="EG75" s="84"/>
      <c r="EK75" s="84"/>
      <c r="EO75" s="84"/>
      <c r="ES75" s="84"/>
      <c r="EW75" s="84"/>
    </row>
    <row r="76" customFormat="false" ht="12.75" hidden="false" customHeight="false" outlineLevel="0" collapsed="false">
      <c r="A76" s="37"/>
      <c r="E76" s="83"/>
      <c r="J76" s="84"/>
      <c r="N76" s="84"/>
      <c r="R76" s="84"/>
      <c r="V76" s="84"/>
      <c r="Z76" s="84"/>
      <c r="AD76" s="84"/>
      <c r="AH76" s="84"/>
      <c r="AL76" s="84"/>
      <c r="AP76" s="84"/>
      <c r="AT76" s="84"/>
      <c r="AX76" s="84"/>
      <c r="BB76" s="85"/>
      <c r="BC76" s="84"/>
      <c r="BD76" s="84"/>
      <c r="BF76" s="84"/>
      <c r="BL76" s="84"/>
      <c r="BP76" s="86"/>
      <c r="BV76" s="84"/>
      <c r="CA76" s="84"/>
      <c r="CF76" s="84"/>
      <c r="CK76" s="84"/>
      <c r="CP76" s="84"/>
      <c r="CS76" s="86"/>
      <c r="CT76" s="84"/>
      <c r="CW76" s="86"/>
      <c r="CX76" s="84"/>
      <c r="DA76" s="86"/>
      <c r="DB76" s="84"/>
      <c r="DE76" s="86"/>
      <c r="DF76" s="84"/>
      <c r="DI76" s="86"/>
      <c r="DJ76" s="84"/>
      <c r="DM76" s="86"/>
      <c r="DN76" s="84"/>
      <c r="DQ76" s="86"/>
      <c r="DR76" s="85"/>
      <c r="DS76" s="85"/>
      <c r="DT76" s="84"/>
      <c r="DV76" s="84"/>
      <c r="DW76" s="157"/>
      <c r="EB76" s="84"/>
      <c r="EG76" s="84"/>
      <c r="EK76" s="84"/>
      <c r="EO76" s="84"/>
      <c r="ES76" s="84"/>
      <c r="EW76" s="84"/>
    </row>
    <row r="77" customFormat="false" ht="12.75" hidden="false" customHeight="false" outlineLevel="0" collapsed="false">
      <c r="A77" s="37"/>
      <c r="E77" s="83"/>
      <c r="J77" s="84"/>
      <c r="N77" s="84"/>
      <c r="R77" s="84"/>
      <c r="V77" s="84"/>
      <c r="Z77" s="84"/>
      <c r="AD77" s="84"/>
      <c r="AH77" s="84"/>
      <c r="AL77" s="84"/>
      <c r="AP77" s="84"/>
      <c r="AT77" s="84"/>
      <c r="AX77" s="84"/>
      <c r="BB77" s="85"/>
      <c r="BC77" s="84"/>
      <c r="BD77" s="84"/>
      <c r="BF77" s="84"/>
      <c r="BL77" s="84"/>
      <c r="BP77" s="86"/>
      <c r="BV77" s="84"/>
      <c r="CA77" s="84"/>
      <c r="CF77" s="84"/>
      <c r="CK77" s="84"/>
      <c r="CP77" s="84"/>
      <c r="CS77" s="86"/>
      <c r="CT77" s="84"/>
      <c r="CW77" s="86"/>
      <c r="CX77" s="84"/>
      <c r="DA77" s="86"/>
      <c r="DB77" s="84"/>
      <c r="DE77" s="86"/>
      <c r="DF77" s="84"/>
      <c r="DI77" s="86"/>
      <c r="DJ77" s="84"/>
      <c r="DM77" s="86"/>
      <c r="DN77" s="84"/>
      <c r="DQ77" s="86"/>
      <c r="DR77" s="85"/>
      <c r="DS77" s="85"/>
      <c r="DT77" s="84"/>
      <c r="DV77" s="84"/>
      <c r="DW77" s="157"/>
      <c r="EB77" s="84"/>
      <c r="EG77" s="84"/>
      <c r="EK77" s="84"/>
      <c r="EO77" s="84"/>
      <c r="ES77" s="84"/>
      <c r="EW77" s="84"/>
    </row>
    <row r="78" customFormat="false" ht="12.75" hidden="false" customHeight="false" outlineLevel="0" collapsed="false">
      <c r="A78" s="37"/>
      <c r="E78" s="83"/>
      <c r="J78" s="84"/>
      <c r="N78" s="84"/>
      <c r="R78" s="84"/>
      <c r="V78" s="84"/>
      <c r="Z78" s="84"/>
      <c r="AD78" s="84"/>
      <c r="AH78" s="84"/>
      <c r="AL78" s="84"/>
      <c r="AP78" s="84"/>
      <c r="AT78" s="84"/>
      <c r="AX78" s="84"/>
      <c r="BB78" s="85"/>
      <c r="BC78" s="84"/>
      <c r="BD78" s="84"/>
      <c r="BF78" s="84"/>
      <c r="BL78" s="84"/>
      <c r="BP78" s="86"/>
      <c r="BV78" s="84"/>
      <c r="CA78" s="84"/>
      <c r="CF78" s="84"/>
      <c r="CK78" s="84"/>
      <c r="CP78" s="84"/>
      <c r="CS78" s="86"/>
      <c r="CT78" s="84"/>
      <c r="CW78" s="86"/>
      <c r="CX78" s="84"/>
      <c r="DA78" s="86"/>
      <c r="DB78" s="84"/>
      <c r="DE78" s="86"/>
      <c r="DF78" s="84"/>
      <c r="DI78" s="86"/>
      <c r="DJ78" s="84"/>
      <c r="DM78" s="86"/>
      <c r="DN78" s="84"/>
      <c r="DQ78" s="86"/>
      <c r="DR78" s="85"/>
      <c r="DS78" s="85"/>
      <c r="DT78" s="84"/>
      <c r="DV78" s="84"/>
      <c r="DW78" s="157"/>
      <c r="EB78" s="84"/>
      <c r="EG78" s="84"/>
      <c r="EK78" s="84"/>
      <c r="EO78" s="84"/>
      <c r="ES78" s="84"/>
      <c r="EW78" s="84"/>
    </row>
    <row r="79" customFormat="false" ht="12.75" hidden="false" customHeight="false" outlineLevel="0" collapsed="false">
      <c r="A79" s="37"/>
      <c r="E79" s="83"/>
      <c r="J79" s="84"/>
      <c r="N79" s="84"/>
      <c r="R79" s="84"/>
      <c r="V79" s="84"/>
      <c r="Z79" s="84"/>
      <c r="AD79" s="84"/>
      <c r="AH79" s="84"/>
      <c r="AL79" s="84"/>
      <c r="AP79" s="84"/>
      <c r="AT79" s="84"/>
      <c r="AX79" s="84"/>
      <c r="BB79" s="85"/>
      <c r="BC79" s="84"/>
      <c r="BD79" s="84"/>
      <c r="BF79" s="84"/>
      <c r="BL79" s="84"/>
      <c r="BP79" s="86"/>
      <c r="BV79" s="84"/>
      <c r="CA79" s="84"/>
      <c r="CF79" s="84"/>
      <c r="CK79" s="84"/>
      <c r="CP79" s="84"/>
      <c r="CS79" s="86"/>
      <c r="CT79" s="84"/>
      <c r="CW79" s="86"/>
      <c r="CX79" s="84"/>
      <c r="DA79" s="86"/>
      <c r="DB79" s="84"/>
      <c r="DE79" s="86"/>
      <c r="DF79" s="84"/>
      <c r="DI79" s="86"/>
      <c r="DJ79" s="84"/>
      <c r="DM79" s="86"/>
      <c r="DN79" s="84"/>
      <c r="DQ79" s="86"/>
      <c r="DR79" s="85"/>
      <c r="DS79" s="85"/>
      <c r="DT79" s="84"/>
      <c r="DV79" s="84"/>
      <c r="DW79" s="157"/>
      <c r="EB79" s="84"/>
      <c r="EG79" s="84"/>
      <c r="EK79" s="84"/>
      <c r="EO79" s="84"/>
      <c r="ES79" s="84"/>
      <c r="EW79" s="84"/>
    </row>
    <row r="80" customFormat="false" ht="12.75" hidden="false" customHeight="false" outlineLevel="0" collapsed="false">
      <c r="A80" s="37"/>
      <c r="E80" s="83"/>
      <c r="J80" s="84"/>
      <c r="N80" s="84"/>
      <c r="R80" s="84"/>
      <c r="V80" s="84"/>
      <c r="Z80" s="84"/>
      <c r="AD80" s="84"/>
      <c r="AH80" s="84"/>
      <c r="AL80" s="84"/>
      <c r="AP80" s="84"/>
      <c r="AT80" s="84"/>
      <c r="AX80" s="84"/>
      <c r="BB80" s="85"/>
      <c r="BC80" s="84"/>
      <c r="BD80" s="84"/>
      <c r="BF80" s="84"/>
      <c r="BL80" s="84"/>
      <c r="BP80" s="86"/>
      <c r="BV80" s="84"/>
      <c r="CA80" s="84"/>
      <c r="CF80" s="84"/>
      <c r="CK80" s="84"/>
      <c r="CP80" s="84"/>
      <c r="CS80" s="86"/>
      <c r="CT80" s="84"/>
      <c r="CW80" s="86"/>
      <c r="CX80" s="84"/>
      <c r="DA80" s="86"/>
      <c r="DB80" s="84"/>
      <c r="DE80" s="86"/>
      <c r="DF80" s="84"/>
      <c r="DI80" s="86"/>
      <c r="DJ80" s="84"/>
      <c r="DM80" s="86"/>
      <c r="DN80" s="84"/>
      <c r="DQ80" s="86"/>
      <c r="DR80" s="85"/>
      <c r="DS80" s="85"/>
      <c r="DT80" s="84"/>
      <c r="DV80" s="84"/>
      <c r="DW80" s="157"/>
      <c r="EB80" s="84"/>
      <c r="EG80" s="84"/>
      <c r="EK80" s="84"/>
      <c r="EO80" s="84"/>
      <c r="ES80" s="84"/>
      <c r="EW80" s="84"/>
    </row>
    <row r="81" customFormat="false" ht="12.75" hidden="false" customHeight="false" outlineLevel="0" collapsed="false">
      <c r="A81" s="37"/>
      <c r="E81" s="83"/>
      <c r="J81" s="84"/>
      <c r="N81" s="84"/>
      <c r="R81" s="84"/>
      <c r="V81" s="84"/>
      <c r="Z81" s="84"/>
      <c r="AD81" s="84"/>
      <c r="AH81" s="84"/>
      <c r="AL81" s="84"/>
      <c r="AP81" s="84"/>
      <c r="AT81" s="84"/>
      <c r="AX81" s="84"/>
      <c r="BB81" s="85"/>
      <c r="BC81" s="84"/>
      <c r="BD81" s="84"/>
      <c r="BF81" s="84"/>
      <c r="BL81" s="84"/>
      <c r="BP81" s="86"/>
      <c r="BV81" s="84"/>
      <c r="CA81" s="84"/>
      <c r="CF81" s="84"/>
      <c r="CK81" s="84"/>
      <c r="CP81" s="84"/>
      <c r="CS81" s="86"/>
      <c r="CT81" s="84"/>
      <c r="CW81" s="86"/>
      <c r="CX81" s="84"/>
      <c r="DA81" s="86"/>
      <c r="DB81" s="84"/>
      <c r="DE81" s="86"/>
      <c r="DF81" s="84"/>
      <c r="DI81" s="86"/>
      <c r="DJ81" s="84"/>
      <c r="DM81" s="86"/>
      <c r="DN81" s="84"/>
      <c r="DQ81" s="86"/>
      <c r="DR81" s="85"/>
      <c r="DS81" s="85"/>
      <c r="DT81" s="84"/>
      <c r="DV81" s="84"/>
      <c r="DW81" s="157"/>
      <c r="EB81" s="84"/>
      <c r="EG81" s="84"/>
      <c r="EK81" s="84"/>
      <c r="EO81" s="84"/>
      <c r="ES81" s="84"/>
      <c r="EW81" s="84"/>
    </row>
    <row r="82" customFormat="false" ht="12.75" hidden="false" customHeight="false" outlineLevel="0" collapsed="false">
      <c r="A82" s="37"/>
      <c r="E82" s="83"/>
      <c r="J82" s="84"/>
      <c r="N82" s="84"/>
      <c r="R82" s="84"/>
      <c r="V82" s="84"/>
      <c r="Z82" s="84"/>
      <c r="AD82" s="84"/>
      <c r="AH82" s="84"/>
      <c r="AL82" s="84"/>
      <c r="AP82" s="84"/>
      <c r="AT82" s="84"/>
      <c r="AX82" s="84"/>
      <c r="BB82" s="85"/>
      <c r="BC82" s="84"/>
      <c r="BD82" s="84"/>
      <c r="BF82" s="84"/>
      <c r="BL82" s="84"/>
      <c r="BP82" s="86"/>
      <c r="BV82" s="84"/>
      <c r="CA82" s="84"/>
      <c r="CF82" s="84"/>
      <c r="CK82" s="84"/>
      <c r="CP82" s="84"/>
      <c r="CS82" s="86"/>
      <c r="CT82" s="84"/>
      <c r="CW82" s="86"/>
      <c r="CX82" s="84"/>
      <c r="DA82" s="86"/>
      <c r="DB82" s="84"/>
      <c r="DE82" s="86"/>
      <c r="DF82" s="84"/>
      <c r="DI82" s="86"/>
      <c r="DJ82" s="84"/>
      <c r="DM82" s="86"/>
      <c r="DN82" s="84"/>
      <c r="DQ82" s="86"/>
      <c r="DR82" s="85"/>
      <c r="DS82" s="85"/>
      <c r="DT82" s="84"/>
      <c r="DV82" s="84"/>
      <c r="DW82" s="157"/>
      <c r="EB82" s="84"/>
      <c r="EG82" s="84"/>
      <c r="EK82" s="84"/>
      <c r="EO82" s="84"/>
      <c r="ES82" s="84"/>
      <c r="EW82" s="84"/>
    </row>
    <row r="83" customFormat="false" ht="12.75" hidden="false" customHeight="false" outlineLevel="0" collapsed="false">
      <c r="A83" s="37"/>
      <c r="E83" s="83"/>
      <c r="J83" s="84"/>
      <c r="N83" s="84"/>
      <c r="R83" s="84"/>
      <c r="V83" s="84"/>
      <c r="Z83" s="84"/>
      <c r="AD83" s="84"/>
      <c r="AH83" s="84"/>
      <c r="AL83" s="84"/>
      <c r="AP83" s="84"/>
      <c r="AT83" s="84"/>
      <c r="AX83" s="84"/>
      <c r="BB83" s="85"/>
      <c r="BC83" s="84"/>
      <c r="BD83" s="84"/>
      <c r="BF83" s="84"/>
      <c r="BL83" s="84"/>
      <c r="BP83" s="86"/>
      <c r="BV83" s="84"/>
      <c r="CA83" s="84"/>
      <c r="CF83" s="84"/>
      <c r="CK83" s="84"/>
      <c r="CP83" s="84"/>
      <c r="CS83" s="86"/>
      <c r="CT83" s="84"/>
      <c r="CW83" s="86"/>
      <c r="CX83" s="84"/>
      <c r="DA83" s="86"/>
      <c r="DB83" s="84"/>
      <c r="DE83" s="86"/>
      <c r="DF83" s="84"/>
      <c r="DI83" s="86"/>
      <c r="DJ83" s="84"/>
      <c r="DM83" s="86"/>
      <c r="DN83" s="84"/>
      <c r="DQ83" s="86"/>
      <c r="DR83" s="85"/>
      <c r="DS83" s="85"/>
      <c r="DT83" s="84"/>
      <c r="DV83" s="84"/>
      <c r="DW83" s="157"/>
      <c r="EB83" s="84"/>
      <c r="EG83" s="84"/>
      <c r="EK83" s="84"/>
      <c r="EO83" s="84"/>
      <c r="ES83" s="84"/>
      <c r="EW83" s="84"/>
    </row>
    <row r="84" customFormat="false" ht="12.75" hidden="false" customHeight="false" outlineLevel="0" collapsed="false">
      <c r="A84" s="37"/>
      <c r="E84" s="83"/>
      <c r="J84" s="84"/>
      <c r="N84" s="84"/>
      <c r="R84" s="84"/>
      <c r="V84" s="84"/>
      <c r="Z84" s="84"/>
      <c r="AD84" s="84"/>
      <c r="AH84" s="84"/>
      <c r="AL84" s="84"/>
      <c r="AP84" s="84"/>
      <c r="AT84" s="84"/>
      <c r="AX84" s="84"/>
      <c r="BB84" s="85"/>
      <c r="BC84" s="84"/>
      <c r="BD84" s="84"/>
      <c r="BF84" s="84"/>
      <c r="BL84" s="84"/>
      <c r="BP84" s="86"/>
      <c r="BV84" s="84"/>
      <c r="CA84" s="84"/>
      <c r="CF84" s="84"/>
      <c r="CK84" s="84"/>
      <c r="CP84" s="84"/>
      <c r="CS84" s="86"/>
      <c r="CT84" s="84"/>
      <c r="CW84" s="86"/>
      <c r="CX84" s="84"/>
      <c r="DA84" s="86"/>
      <c r="DB84" s="84"/>
      <c r="DE84" s="86"/>
      <c r="DF84" s="84"/>
      <c r="DI84" s="86"/>
      <c r="DJ84" s="84"/>
      <c r="DM84" s="86"/>
      <c r="DN84" s="84"/>
      <c r="DQ84" s="86"/>
      <c r="DR84" s="85"/>
      <c r="DS84" s="85"/>
      <c r="DT84" s="84"/>
      <c r="DV84" s="84"/>
      <c r="DW84" s="157"/>
      <c r="EB84" s="84"/>
      <c r="EG84" s="84"/>
      <c r="EK84" s="84"/>
      <c r="EO84" s="84"/>
      <c r="ES84" s="84"/>
      <c r="EW84" s="84"/>
    </row>
    <row r="85" customFormat="false" ht="12.75" hidden="false" customHeight="false" outlineLevel="0" collapsed="false">
      <c r="A85" s="37"/>
      <c r="E85" s="83"/>
      <c r="J85" s="84"/>
      <c r="N85" s="84"/>
      <c r="R85" s="84"/>
      <c r="V85" s="84"/>
      <c r="Z85" s="84"/>
      <c r="AD85" s="84"/>
      <c r="AH85" s="84"/>
      <c r="AL85" s="84"/>
      <c r="AP85" s="84"/>
      <c r="AT85" s="84"/>
      <c r="AX85" s="84"/>
      <c r="BB85" s="85"/>
      <c r="BC85" s="84"/>
      <c r="BD85" s="84"/>
      <c r="BF85" s="84"/>
      <c r="BL85" s="84"/>
      <c r="BP85" s="86"/>
      <c r="BV85" s="84"/>
      <c r="CA85" s="84"/>
      <c r="CF85" s="84"/>
      <c r="CK85" s="84"/>
      <c r="CP85" s="84"/>
      <c r="CS85" s="86"/>
      <c r="CT85" s="84"/>
      <c r="CW85" s="86"/>
      <c r="CX85" s="84"/>
      <c r="DA85" s="86"/>
      <c r="DB85" s="84"/>
      <c r="DE85" s="86"/>
      <c r="DF85" s="84"/>
      <c r="DI85" s="86"/>
      <c r="DJ85" s="84"/>
      <c r="DM85" s="86"/>
      <c r="DN85" s="84"/>
      <c r="DQ85" s="86"/>
      <c r="DR85" s="85"/>
      <c r="DS85" s="85"/>
      <c r="DT85" s="84"/>
      <c r="DV85" s="84"/>
      <c r="DW85" s="157"/>
      <c r="EB85" s="84"/>
      <c r="EG85" s="84"/>
      <c r="EK85" s="84"/>
      <c r="EO85" s="84"/>
      <c r="ES85" s="84"/>
      <c r="EW85" s="84"/>
    </row>
    <row r="86" customFormat="false" ht="12.75" hidden="false" customHeight="false" outlineLevel="0" collapsed="false">
      <c r="A86" s="37"/>
      <c r="E86" s="83"/>
      <c r="J86" s="84"/>
      <c r="N86" s="84"/>
      <c r="R86" s="84"/>
      <c r="V86" s="84"/>
      <c r="Z86" s="84"/>
      <c r="AD86" s="84"/>
      <c r="AH86" s="84"/>
      <c r="AL86" s="84"/>
      <c r="AP86" s="84"/>
      <c r="AT86" s="84"/>
      <c r="AX86" s="84"/>
      <c r="BB86" s="85"/>
      <c r="BC86" s="84"/>
      <c r="BD86" s="84"/>
      <c r="BF86" s="84"/>
      <c r="BL86" s="84"/>
      <c r="BP86" s="86"/>
      <c r="BV86" s="84"/>
      <c r="CA86" s="84"/>
      <c r="CF86" s="84"/>
      <c r="CK86" s="84"/>
      <c r="CP86" s="84"/>
      <c r="CS86" s="86"/>
      <c r="CT86" s="84"/>
      <c r="CW86" s="86"/>
      <c r="CX86" s="84"/>
      <c r="DA86" s="86"/>
      <c r="DB86" s="84"/>
      <c r="DE86" s="86"/>
      <c r="DF86" s="84"/>
      <c r="DI86" s="86"/>
      <c r="DJ86" s="84"/>
      <c r="DM86" s="86"/>
      <c r="DN86" s="84"/>
      <c r="DQ86" s="86"/>
      <c r="DR86" s="85"/>
      <c r="DS86" s="85"/>
      <c r="DT86" s="84"/>
      <c r="DV86" s="84"/>
      <c r="DW86" s="157"/>
      <c r="EB86" s="84"/>
      <c r="EG86" s="84"/>
      <c r="EK86" s="84"/>
      <c r="EO86" s="84"/>
      <c r="ES86" s="84"/>
      <c r="EW86" s="84"/>
    </row>
    <row r="87" customFormat="false" ht="12.75" hidden="false" customHeight="false" outlineLevel="0" collapsed="false">
      <c r="A87" s="37"/>
      <c r="E87" s="83"/>
      <c r="J87" s="84"/>
      <c r="N87" s="84"/>
      <c r="R87" s="84"/>
      <c r="V87" s="84"/>
      <c r="Z87" s="84"/>
      <c r="AD87" s="84"/>
      <c r="AH87" s="84"/>
      <c r="AL87" s="84"/>
      <c r="AP87" s="84"/>
      <c r="AT87" s="84"/>
      <c r="AX87" s="84"/>
      <c r="BB87" s="85"/>
      <c r="BC87" s="84"/>
      <c r="BD87" s="84"/>
      <c r="BF87" s="84"/>
      <c r="BL87" s="84"/>
      <c r="BP87" s="86"/>
      <c r="BV87" s="84"/>
      <c r="CA87" s="84"/>
      <c r="CF87" s="84"/>
      <c r="CK87" s="84"/>
      <c r="CP87" s="84"/>
      <c r="CS87" s="86"/>
      <c r="CT87" s="84"/>
      <c r="CW87" s="86"/>
      <c r="CX87" s="84"/>
      <c r="DA87" s="86"/>
      <c r="DB87" s="84"/>
      <c r="DE87" s="86"/>
      <c r="DF87" s="84"/>
      <c r="DI87" s="86"/>
      <c r="DJ87" s="84"/>
      <c r="DM87" s="86"/>
      <c r="DN87" s="84"/>
      <c r="DQ87" s="86"/>
      <c r="DR87" s="85"/>
      <c r="DS87" s="85"/>
      <c r="DT87" s="84"/>
      <c r="DV87" s="84"/>
      <c r="DW87" s="157"/>
      <c r="EB87" s="84"/>
      <c r="EG87" s="84"/>
      <c r="EK87" s="84"/>
      <c r="EO87" s="84"/>
      <c r="ES87" s="84"/>
      <c r="EW87" s="84"/>
    </row>
    <row r="88" customFormat="false" ht="12.75" hidden="false" customHeight="false" outlineLevel="0" collapsed="false">
      <c r="A88" s="37"/>
      <c r="E88" s="83"/>
      <c r="J88" s="84"/>
      <c r="N88" s="84"/>
      <c r="R88" s="84"/>
      <c r="V88" s="84"/>
      <c r="Z88" s="84"/>
      <c r="AD88" s="84"/>
      <c r="AH88" s="84"/>
      <c r="AL88" s="84"/>
      <c r="AP88" s="84"/>
      <c r="AT88" s="84"/>
      <c r="AX88" s="84"/>
      <c r="BB88" s="85"/>
      <c r="BC88" s="84"/>
      <c r="BD88" s="84"/>
      <c r="BF88" s="84"/>
      <c r="BL88" s="84"/>
      <c r="BP88" s="86"/>
      <c r="BV88" s="84"/>
      <c r="CA88" s="84"/>
      <c r="CF88" s="84"/>
      <c r="CK88" s="84"/>
      <c r="CP88" s="84"/>
      <c r="CS88" s="86"/>
      <c r="CT88" s="84"/>
      <c r="CW88" s="86"/>
      <c r="CX88" s="84"/>
      <c r="DA88" s="86"/>
      <c r="DB88" s="84"/>
      <c r="DE88" s="86"/>
      <c r="DF88" s="84"/>
      <c r="DI88" s="86"/>
      <c r="DJ88" s="84"/>
      <c r="DM88" s="86"/>
      <c r="DN88" s="84"/>
      <c r="DQ88" s="86"/>
      <c r="DR88" s="85"/>
      <c r="DS88" s="85"/>
      <c r="DT88" s="84"/>
      <c r="DV88" s="84"/>
      <c r="DW88" s="157"/>
      <c r="EB88" s="84"/>
      <c r="EG88" s="84"/>
      <c r="EK88" s="84"/>
      <c r="EO88" s="84"/>
      <c r="ES88" s="84"/>
      <c r="EW88" s="84"/>
    </row>
    <row r="89" customFormat="false" ht="12.75" hidden="false" customHeight="false" outlineLevel="0" collapsed="false">
      <c r="A89" s="37"/>
      <c r="E89" s="83"/>
      <c r="J89" s="84"/>
      <c r="N89" s="84"/>
      <c r="R89" s="84"/>
      <c r="V89" s="84"/>
      <c r="Z89" s="84"/>
      <c r="AD89" s="84"/>
      <c r="AH89" s="84"/>
      <c r="AL89" s="84"/>
      <c r="AP89" s="84"/>
      <c r="AT89" s="84"/>
      <c r="AX89" s="84"/>
      <c r="BB89" s="85"/>
      <c r="BC89" s="84"/>
      <c r="BD89" s="84"/>
      <c r="BF89" s="84"/>
      <c r="BL89" s="84"/>
      <c r="BP89" s="86"/>
      <c r="BV89" s="84"/>
      <c r="CA89" s="84"/>
      <c r="CF89" s="84"/>
      <c r="CK89" s="84"/>
      <c r="CP89" s="84"/>
      <c r="CS89" s="86"/>
      <c r="CT89" s="84"/>
      <c r="CW89" s="86"/>
      <c r="CX89" s="84"/>
      <c r="DA89" s="86"/>
      <c r="DB89" s="84"/>
      <c r="DE89" s="86"/>
      <c r="DF89" s="84"/>
      <c r="DI89" s="86"/>
      <c r="DJ89" s="84"/>
      <c r="DM89" s="86"/>
      <c r="DN89" s="84"/>
      <c r="DQ89" s="86"/>
      <c r="DR89" s="85"/>
      <c r="DS89" s="85"/>
      <c r="DT89" s="84"/>
      <c r="DV89" s="84"/>
      <c r="DW89" s="157"/>
      <c r="EB89" s="84"/>
      <c r="EG89" s="84"/>
      <c r="EK89" s="84"/>
      <c r="EO89" s="84"/>
      <c r="ES89" s="84"/>
      <c r="EW89" s="84"/>
    </row>
    <row r="90" customFormat="false" ht="12.75" hidden="false" customHeight="false" outlineLevel="0" collapsed="false">
      <c r="A90" s="37"/>
      <c r="E90" s="83"/>
      <c r="J90" s="84"/>
      <c r="N90" s="84"/>
      <c r="R90" s="84"/>
      <c r="V90" s="84"/>
      <c r="Z90" s="84"/>
      <c r="AD90" s="84"/>
      <c r="AH90" s="84"/>
      <c r="AL90" s="84"/>
      <c r="AP90" s="84"/>
      <c r="AT90" s="84"/>
      <c r="AX90" s="84"/>
      <c r="BB90" s="85"/>
      <c r="BC90" s="84"/>
      <c r="BD90" s="84"/>
      <c r="BF90" s="84"/>
      <c r="BL90" s="84"/>
      <c r="BP90" s="86"/>
      <c r="BV90" s="84"/>
      <c r="CA90" s="84"/>
      <c r="CF90" s="84"/>
      <c r="CK90" s="84"/>
      <c r="CP90" s="84"/>
      <c r="CS90" s="86"/>
      <c r="CT90" s="84"/>
      <c r="CW90" s="86"/>
      <c r="CX90" s="84"/>
      <c r="DA90" s="86"/>
      <c r="DB90" s="84"/>
      <c r="DE90" s="86"/>
      <c r="DF90" s="84"/>
      <c r="DI90" s="86"/>
      <c r="DJ90" s="84"/>
      <c r="DM90" s="86"/>
      <c r="DN90" s="84"/>
      <c r="DQ90" s="86"/>
      <c r="DR90" s="85"/>
      <c r="DS90" s="85"/>
      <c r="DT90" s="84"/>
      <c r="DV90" s="84"/>
      <c r="DW90" s="157"/>
      <c r="EB90" s="84"/>
      <c r="EG90" s="84"/>
      <c r="EK90" s="84"/>
      <c r="EO90" s="84"/>
      <c r="ES90" s="84"/>
      <c r="EW90" s="84"/>
    </row>
    <row r="91" customFormat="false" ht="12.75" hidden="false" customHeight="false" outlineLevel="0" collapsed="false">
      <c r="A91" s="37"/>
      <c r="E91" s="83"/>
      <c r="J91" s="84"/>
      <c r="N91" s="84"/>
      <c r="R91" s="84"/>
      <c r="V91" s="84"/>
      <c r="Z91" s="84"/>
      <c r="AD91" s="84"/>
      <c r="AH91" s="84"/>
      <c r="AL91" s="84"/>
      <c r="AP91" s="84"/>
      <c r="AT91" s="84"/>
      <c r="AX91" s="84"/>
      <c r="BB91" s="85"/>
      <c r="BC91" s="84"/>
      <c r="BD91" s="84"/>
      <c r="BF91" s="84"/>
      <c r="BL91" s="84"/>
      <c r="BP91" s="86"/>
      <c r="BV91" s="84"/>
      <c r="CA91" s="84"/>
      <c r="CF91" s="84"/>
      <c r="CK91" s="84"/>
      <c r="CP91" s="84"/>
      <c r="CS91" s="86"/>
      <c r="CT91" s="84"/>
      <c r="CW91" s="86"/>
      <c r="CX91" s="84"/>
      <c r="DA91" s="86"/>
      <c r="DB91" s="84"/>
      <c r="DE91" s="86"/>
      <c r="DF91" s="84"/>
      <c r="DI91" s="86"/>
      <c r="DJ91" s="84"/>
      <c r="DM91" s="86"/>
      <c r="DN91" s="84"/>
      <c r="DQ91" s="86"/>
      <c r="DR91" s="85"/>
      <c r="DS91" s="85"/>
      <c r="DT91" s="84"/>
      <c r="DV91" s="84"/>
      <c r="DW91" s="157"/>
      <c r="EB91" s="84"/>
      <c r="EG91" s="84"/>
      <c r="EK91" s="84"/>
      <c r="EO91" s="84"/>
      <c r="ES91" s="84"/>
      <c r="EW91" s="84"/>
    </row>
    <row r="92" customFormat="false" ht="12.75" hidden="false" customHeight="false" outlineLevel="0" collapsed="false">
      <c r="A92" s="37"/>
      <c r="E92" s="83"/>
      <c r="J92" s="84"/>
      <c r="N92" s="84"/>
      <c r="R92" s="84"/>
      <c r="V92" s="84"/>
      <c r="Z92" s="84"/>
      <c r="AD92" s="84"/>
      <c r="AH92" s="84"/>
      <c r="AL92" s="84"/>
      <c r="AP92" s="84"/>
      <c r="AT92" s="84"/>
      <c r="AX92" s="84"/>
      <c r="BB92" s="85"/>
      <c r="BC92" s="84"/>
      <c r="BD92" s="84"/>
      <c r="BF92" s="84"/>
      <c r="BL92" s="84"/>
      <c r="BP92" s="86"/>
      <c r="BV92" s="84"/>
      <c r="CA92" s="84"/>
      <c r="CF92" s="84"/>
      <c r="CK92" s="84"/>
      <c r="CP92" s="84"/>
      <c r="CS92" s="86"/>
      <c r="CT92" s="84"/>
      <c r="CW92" s="86"/>
      <c r="CX92" s="84"/>
      <c r="DA92" s="86"/>
      <c r="DB92" s="84"/>
      <c r="DE92" s="86"/>
      <c r="DF92" s="84"/>
      <c r="DI92" s="86"/>
      <c r="DJ92" s="84"/>
      <c r="DM92" s="86"/>
      <c r="DN92" s="84"/>
      <c r="DQ92" s="86"/>
      <c r="DR92" s="85"/>
      <c r="DS92" s="85"/>
      <c r="DT92" s="84"/>
      <c r="DV92" s="84"/>
      <c r="DW92" s="157"/>
      <c r="EB92" s="84"/>
      <c r="EG92" s="84"/>
      <c r="EK92" s="84"/>
      <c r="EO92" s="84"/>
      <c r="ES92" s="84"/>
      <c r="EW92" s="84"/>
    </row>
    <row r="93" customFormat="false" ht="12.75" hidden="false" customHeight="false" outlineLevel="0" collapsed="false">
      <c r="A93" s="37"/>
      <c r="E93" s="83"/>
      <c r="J93" s="84"/>
      <c r="N93" s="84"/>
      <c r="R93" s="84"/>
      <c r="V93" s="84"/>
      <c r="Z93" s="84"/>
      <c r="AD93" s="84"/>
      <c r="AH93" s="84"/>
      <c r="AL93" s="84"/>
      <c r="AP93" s="84"/>
      <c r="AT93" s="84"/>
      <c r="AX93" s="84"/>
      <c r="BB93" s="85"/>
      <c r="BC93" s="84"/>
      <c r="BD93" s="84"/>
      <c r="BF93" s="84"/>
      <c r="BL93" s="84"/>
      <c r="BP93" s="86"/>
      <c r="BV93" s="84"/>
      <c r="CA93" s="84"/>
      <c r="CF93" s="84"/>
      <c r="CK93" s="84"/>
      <c r="CP93" s="84"/>
      <c r="CS93" s="86"/>
      <c r="CT93" s="84"/>
      <c r="CW93" s="86"/>
      <c r="CX93" s="84"/>
      <c r="DA93" s="86"/>
      <c r="DB93" s="84"/>
      <c r="DE93" s="86"/>
      <c r="DF93" s="84"/>
      <c r="DI93" s="86"/>
      <c r="DJ93" s="84"/>
      <c r="DM93" s="86"/>
      <c r="DN93" s="84"/>
      <c r="DQ93" s="86"/>
      <c r="DR93" s="85"/>
      <c r="DS93" s="85"/>
      <c r="DT93" s="84"/>
      <c r="DV93" s="84"/>
      <c r="DW93" s="157"/>
      <c r="EB93" s="84"/>
      <c r="EG93" s="84"/>
      <c r="EK93" s="84"/>
      <c r="EO93" s="84"/>
      <c r="ES93" s="84"/>
      <c r="EW93" s="84"/>
    </row>
    <row r="94" customFormat="false" ht="12.75" hidden="false" customHeight="false" outlineLevel="0" collapsed="false">
      <c r="A94" s="37"/>
      <c r="E94" s="83"/>
      <c r="J94" s="84"/>
      <c r="N94" s="84"/>
      <c r="R94" s="84"/>
      <c r="V94" s="84"/>
      <c r="Z94" s="84"/>
      <c r="AD94" s="84"/>
      <c r="AH94" s="84"/>
      <c r="AL94" s="84"/>
      <c r="AP94" s="84"/>
      <c r="AT94" s="84"/>
      <c r="AX94" s="84"/>
      <c r="BB94" s="85"/>
      <c r="BC94" s="84"/>
      <c r="BD94" s="84"/>
      <c r="BF94" s="84"/>
      <c r="BL94" s="84"/>
      <c r="BP94" s="86"/>
      <c r="BV94" s="84"/>
      <c r="CA94" s="84"/>
      <c r="CF94" s="84"/>
      <c r="CK94" s="84"/>
      <c r="CP94" s="84"/>
      <c r="CS94" s="86"/>
      <c r="CT94" s="84"/>
      <c r="CW94" s="86"/>
      <c r="CX94" s="84"/>
      <c r="DA94" s="86"/>
      <c r="DB94" s="84"/>
      <c r="DE94" s="86"/>
      <c r="DF94" s="84"/>
      <c r="DI94" s="86"/>
      <c r="DJ94" s="84"/>
      <c r="DM94" s="86"/>
      <c r="DN94" s="84"/>
      <c r="DQ94" s="86"/>
      <c r="DR94" s="85"/>
      <c r="DS94" s="85"/>
      <c r="DT94" s="84"/>
      <c r="DV94" s="84"/>
      <c r="DW94" s="157"/>
      <c r="EB94" s="84"/>
      <c r="EG94" s="84"/>
      <c r="EK94" s="84"/>
      <c r="EO94" s="84"/>
      <c r="ES94" s="84"/>
      <c r="EW94" s="84"/>
    </row>
    <row r="95" customFormat="false" ht="12.75" hidden="false" customHeight="false" outlineLevel="0" collapsed="false">
      <c r="A95" s="37"/>
      <c r="E95" s="83"/>
      <c r="J95" s="84"/>
      <c r="N95" s="84"/>
      <c r="R95" s="84"/>
      <c r="V95" s="84"/>
      <c r="Z95" s="84"/>
      <c r="AD95" s="84"/>
      <c r="AH95" s="84"/>
      <c r="AL95" s="84"/>
      <c r="AP95" s="84"/>
      <c r="AT95" s="84"/>
      <c r="AX95" s="84"/>
      <c r="BB95" s="85"/>
      <c r="BC95" s="84"/>
      <c r="BD95" s="84"/>
      <c r="BF95" s="84"/>
      <c r="BL95" s="84"/>
      <c r="BP95" s="86"/>
      <c r="BV95" s="84"/>
      <c r="CA95" s="84"/>
      <c r="CF95" s="84"/>
      <c r="CK95" s="84"/>
      <c r="CP95" s="84"/>
      <c r="CS95" s="86"/>
      <c r="CT95" s="84"/>
      <c r="CW95" s="86"/>
      <c r="CX95" s="84"/>
      <c r="DA95" s="86"/>
      <c r="DB95" s="84"/>
      <c r="DE95" s="86"/>
      <c r="DF95" s="84"/>
      <c r="DI95" s="86"/>
      <c r="DJ95" s="84"/>
      <c r="DM95" s="86"/>
      <c r="DN95" s="84"/>
      <c r="DQ95" s="86"/>
      <c r="DR95" s="85"/>
      <c r="DS95" s="85"/>
      <c r="DT95" s="84"/>
      <c r="DV95" s="84"/>
      <c r="DW95" s="157"/>
      <c r="EB95" s="84"/>
      <c r="EG95" s="84"/>
      <c r="EK95" s="84"/>
      <c r="EO95" s="84"/>
      <c r="ES95" s="84"/>
      <c r="EW95" s="84"/>
    </row>
    <row r="96" customFormat="false" ht="12.75" hidden="false" customHeight="false" outlineLevel="0" collapsed="false">
      <c r="A96" s="37"/>
      <c r="E96" s="83"/>
      <c r="J96" s="84"/>
      <c r="N96" s="84"/>
      <c r="R96" s="84"/>
      <c r="V96" s="84"/>
      <c r="Z96" s="84"/>
      <c r="AD96" s="84"/>
      <c r="AH96" s="84"/>
      <c r="AL96" s="84"/>
      <c r="AP96" s="84"/>
      <c r="AT96" s="84"/>
      <c r="AX96" s="84"/>
      <c r="BB96" s="85"/>
      <c r="BC96" s="84"/>
      <c r="BD96" s="84"/>
      <c r="BF96" s="84"/>
      <c r="BL96" s="84"/>
      <c r="BP96" s="86"/>
      <c r="BV96" s="84"/>
      <c r="CA96" s="84"/>
      <c r="CF96" s="84"/>
      <c r="CK96" s="84"/>
      <c r="CP96" s="84"/>
      <c r="CS96" s="86"/>
      <c r="CT96" s="84"/>
      <c r="CW96" s="86"/>
      <c r="CX96" s="84"/>
      <c r="DA96" s="86"/>
      <c r="DB96" s="84"/>
      <c r="DE96" s="86"/>
      <c r="DF96" s="84"/>
      <c r="DI96" s="86"/>
      <c r="DJ96" s="84"/>
      <c r="DM96" s="86"/>
      <c r="DN96" s="84"/>
      <c r="DQ96" s="86"/>
      <c r="DR96" s="85"/>
      <c r="DS96" s="85"/>
      <c r="DT96" s="84"/>
      <c r="DV96" s="84"/>
      <c r="DW96" s="157"/>
      <c r="EB96" s="84"/>
      <c r="EG96" s="84"/>
      <c r="EK96" s="84"/>
      <c r="EO96" s="84"/>
      <c r="ES96" s="84"/>
      <c r="EW96" s="84"/>
    </row>
    <row r="97" customFormat="false" ht="12.75" hidden="false" customHeight="false" outlineLevel="0" collapsed="false">
      <c r="A97" s="37"/>
      <c r="E97" s="83"/>
      <c r="J97" s="84"/>
      <c r="N97" s="84"/>
      <c r="R97" s="84"/>
      <c r="V97" s="84"/>
      <c r="Z97" s="84"/>
      <c r="AD97" s="84"/>
      <c r="AH97" s="84"/>
      <c r="AL97" s="84"/>
      <c r="AP97" s="84"/>
      <c r="AT97" s="84"/>
      <c r="AX97" s="84"/>
      <c r="BB97" s="85"/>
      <c r="BC97" s="84"/>
      <c r="BD97" s="84"/>
      <c r="BF97" s="84"/>
      <c r="BL97" s="84"/>
      <c r="BP97" s="86"/>
      <c r="BV97" s="84"/>
      <c r="CA97" s="84"/>
      <c r="CF97" s="84"/>
      <c r="CK97" s="84"/>
      <c r="CP97" s="84"/>
      <c r="CS97" s="86"/>
      <c r="CT97" s="84"/>
      <c r="CW97" s="86"/>
      <c r="CX97" s="84"/>
      <c r="DA97" s="86"/>
      <c r="DB97" s="84"/>
      <c r="DE97" s="86"/>
      <c r="DF97" s="84"/>
      <c r="DI97" s="86"/>
      <c r="DJ97" s="84"/>
      <c r="DM97" s="86"/>
      <c r="DN97" s="84"/>
      <c r="DQ97" s="86"/>
      <c r="DR97" s="85"/>
      <c r="DS97" s="85"/>
      <c r="DT97" s="84"/>
      <c r="DV97" s="84"/>
      <c r="DW97" s="157"/>
      <c r="EB97" s="84"/>
      <c r="EG97" s="84"/>
      <c r="EK97" s="84"/>
      <c r="EO97" s="84"/>
      <c r="ES97" s="84"/>
      <c r="EW97" s="84"/>
    </row>
    <row r="98" customFormat="false" ht="12.75" hidden="false" customHeight="false" outlineLevel="0" collapsed="false">
      <c r="A98" s="37"/>
      <c r="E98" s="83"/>
      <c r="J98" s="84"/>
      <c r="N98" s="84"/>
      <c r="R98" s="84"/>
      <c r="V98" s="84"/>
      <c r="Z98" s="84"/>
      <c r="AD98" s="84"/>
      <c r="AH98" s="84"/>
      <c r="AL98" s="84"/>
      <c r="AP98" s="84"/>
      <c r="AT98" s="84"/>
      <c r="AX98" s="84"/>
      <c r="BB98" s="85"/>
      <c r="BC98" s="84"/>
      <c r="BD98" s="84"/>
      <c r="BF98" s="84"/>
      <c r="BL98" s="84"/>
      <c r="BP98" s="86"/>
      <c r="BV98" s="84"/>
      <c r="CA98" s="84"/>
      <c r="CF98" s="84"/>
      <c r="CK98" s="84"/>
      <c r="CP98" s="84"/>
      <c r="CS98" s="86"/>
      <c r="CT98" s="84"/>
      <c r="CW98" s="86"/>
      <c r="CX98" s="84"/>
      <c r="DA98" s="86"/>
      <c r="DB98" s="84"/>
      <c r="DE98" s="86"/>
      <c r="DF98" s="84"/>
      <c r="DI98" s="86"/>
      <c r="DJ98" s="84"/>
      <c r="DM98" s="86"/>
      <c r="DN98" s="84"/>
      <c r="DQ98" s="86"/>
      <c r="DR98" s="85"/>
      <c r="DS98" s="85"/>
      <c r="DT98" s="84"/>
      <c r="DV98" s="84"/>
      <c r="DW98" s="157"/>
      <c r="EB98" s="84"/>
      <c r="EG98" s="84"/>
      <c r="EK98" s="84"/>
      <c r="EO98" s="84"/>
      <c r="ES98" s="84"/>
      <c r="EW98" s="84"/>
    </row>
    <row r="99" customFormat="false" ht="12.75" hidden="false" customHeight="false" outlineLevel="0" collapsed="false">
      <c r="A99" s="37"/>
      <c r="E99" s="83"/>
      <c r="J99" s="84"/>
      <c r="N99" s="84"/>
      <c r="R99" s="84"/>
      <c r="V99" s="84"/>
      <c r="Z99" s="84"/>
      <c r="AD99" s="84"/>
      <c r="AH99" s="84"/>
      <c r="AL99" s="84"/>
      <c r="AP99" s="84"/>
      <c r="AT99" s="84"/>
      <c r="AX99" s="84"/>
      <c r="BB99" s="85"/>
      <c r="BC99" s="84"/>
      <c r="BD99" s="84"/>
      <c r="BF99" s="84"/>
      <c r="BL99" s="84"/>
      <c r="BP99" s="86"/>
      <c r="BV99" s="84"/>
      <c r="CA99" s="84"/>
      <c r="CF99" s="84"/>
      <c r="CK99" s="84"/>
      <c r="CP99" s="84"/>
      <c r="CS99" s="86"/>
      <c r="CT99" s="84"/>
      <c r="CW99" s="86"/>
      <c r="CX99" s="84"/>
      <c r="DA99" s="86"/>
      <c r="DB99" s="84"/>
      <c r="DE99" s="86"/>
      <c r="DF99" s="84"/>
      <c r="DI99" s="86"/>
      <c r="DJ99" s="84"/>
      <c r="DM99" s="86"/>
      <c r="DN99" s="84"/>
      <c r="DQ99" s="86"/>
      <c r="DR99" s="85"/>
      <c r="DS99" s="85"/>
      <c r="DT99" s="84"/>
      <c r="DV99" s="84"/>
      <c r="DW99" s="157"/>
      <c r="EB99" s="84"/>
      <c r="EG99" s="84"/>
      <c r="EK99" s="84"/>
      <c r="EO99" s="84"/>
      <c r="ES99" s="84"/>
      <c r="EW99" s="84"/>
    </row>
    <row r="100" customFormat="false" ht="12.75" hidden="false" customHeight="false" outlineLevel="0" collapsed="false">
      <c r="A100" s="37"/>
      <c r="E100" s="83"/>
      <c r="J100" s="84"/>
      <c r="N100" s="84"/>
      <c r="R100" s="84"/>
      <c r="V100" s="84"/>
      <c r="Z100" s="84"/>
      <c r="AD100" s="84"/>
      <c r="AH100" s="84"/>
      <c r="AL100" s="84"/>
      <c r="AP100" s="84"/>
      <c r="AT100" s="84"/>
      <c r="AX100" s="84"/>
      <c r="BB100" s="85"/>
      <c r="BC100" s="84"/>
      <c r="BD100" s="84"/>
      <c r="BF100" s="84"/>
      <c r="BL100" s="84"/>
      <c r="BP100" s="86"/>
      <c r="BV100" s="84"/>
      <c r="CA100" s="84"/>
      <c r="CF100" s="84"/>
      <c r="CK100" s="84"/>
      <c r="CP100" s="84"/>
      <c r="CS100" s="86"/>
      <c r="CT100" s="84"/>
      <c r="CW100" s="86"/>
      <c r="CX100" s="84"/>
      <c r="DA100" s="86"/>
      <c r="DB100" s="84"/>
      <c r="DE100" s="86"/>
      <c r="DF100" s="84"/>
      <c r="DI100" s="86"/>
      <c r="DJ100" s="84"/>
      <c r="DM100" s="86"/>
      <c r="DN100" s="84"/>
      <c r="DQ100" s="86"/>
      <c r="DR100" s="85"/>
      <c r="DS100" s="85"/>
      <c r="DT100" s="84"/>
      <c r="DV100" s="84"/>
      <c r="DW100" s="157"/>
      <c r="EB100" s="84"/>
      <c r="EG100" s="84"/>
      <c r="EK100" s="84"/>
      <c r="EO100" s="84"/>
      <c r="ES100" s="84"/>
      <c r="EW100" s="84"/>
    </row>
    <row r="101" customFormat="false" ht="12.75" hidden="false" customHeight="false" outlineLevel="0" collapsed="false">
      <c r="A101" s="37"/>
      <c r="E101" s="83"/>
      <c r="J101" s="84"/>
      <c r="N101" s="84"/>
      <c r="R101" s="84"/>
      <c r="V101" s="84"/>
      <c r="Z101" s="84"/>
      <c r="AD101" s="84"/>
      <c r="AH101" s="84"/>
      <c r="AL101" s="84"/>
      <c r="AP101" s="84"/>
      <c r="AT101" s="84"/>
      <c r="AX101" s="84"/>
      <c r="BB101" s="85"/>
      <c r="BC101" s="84"/>
      <c r="BD101" s="84"/>
      <c r="BF101" s="84"/>
      <c r="BL101" s="84"/>
      <c r="BP101" s="86"/>
      <c r="BV101" s="84"/>
      <c r="CA101" s="84"/>
      <c r="CF101" s="84"/>
      <c r="CK101" s="84"/>
      <c r="CP101" s="84"/>
      <c r="CS101" s="86"/>
      <c r="CT101" s="84"/>
      <c r="CW101" s="86"/>
      <c r="CX101" s="84"/>
      <c r="DA101" s="86"/>
      <c r="DB101" s="84"/>
      <c r="DE101" s="86"/>
      <c r="DF101" s="84"/>
      <c r="DI101" s="86"/>
      <c r="DJ101" s="84"/>
      <c r="DM101" s="86"/>
      <c r="DN101" s="84"/>
      <c r="DQ101" s="86"/>
      <c r="DR101" s="85"/>
      <c r="DS101" s="85"/>
      <c r="DT101" s="84"/>
      <c r="DV101" s="84"/>
      <c r="DW101" s="157"/>
      <c r="EB101" s="84"/>
      <c r="EG101" s="84"/>
      <c r="EK101" s="84"/>
      <c r="EO101" s="84"/>
      <c r="ES101" s="84"/>
      <c r="EW101" s="84"/>
    </row>
    <row r="102" customFormat="false" ht="12.75" hidden="false" customHeight="false" outlineLevel="0" collapsed="false">
      <c r="A102" s="37"/>
      <c r="E102" s="83"/>
      <c r="J102" s="84"/>
      <c r="N102" s="84"/>
      <c r="R102" s="84"/>
      <c r="V102" s="84"/>
      <c r="Z102" s="84"/>
      <c r="AD102" s="84"/>
      <c r="AH102" s="84"/>
      <c r="AL102" s="84"/>
      <c r="AP102" s="84"/>
      <c r="AT102" s="84"/>
      <c r="AX102" s="84"/>
      <c r="BB102" s="85"/>
      <c r="BC102" s="84"/>
      <c r="BD102" s="84"/>
      <c r="BF102" s="84"/>
      <c r="BL102" s="84"/>
      <c r="BP102" s="86"/>
      <c r="BV102" s="84"/>
      <c r="CA102" s="84"/>
      <c r="CF102" s="84"/>
      <c r="CK102" s="84"/>
      <c r="CP102" s="84"/>
      <c r="CS102" s="86"/>
      <c r="CT102" s="84"/>
      <c r="CW102" s="86"/>
      <c r="CX102" s="84"/>
      <c r="DA102" s="86"/>
      <c r="DB102" s="84"/>
      <c r="DE102" s="86"/>
      <c r="DF102" s="84"/>
      <c r="DI102" s="86"/>
      <c r="DJ102" s="84"/>
      <c r="DM102" s="86"/>
      <c r="DN102" s="84"/>
      <c r="DQ102" s="86"/>
      <c r="DR102" s="85"/>
      <c r="DS102" s="85"/>
      <c r="DT102" s="84"/>
      <c r="DV102" s="84"/>
      <c r="DW102" s="157"/>
      <c r="EB102" s="84"/>
      <c r="EG102" s="84"/>
      <c r="EK102" s="84"/>
      <c r="EO102" s="84"/>
      <c r="ES102" s="84"/>
      <c r="EW102" s="84"/>
    </row>
    <row r="103" customFormat="false" ht="12.75" hidden="false" customHeight="false" outlineLevel="0" collapsed="false">
      <c r="A103" s="37"/>
      <c r="E103" s="83"/>
      <c r="J103" s="84"/>
      <c r="N103" s="84"/>
      <c r="R103" s="84"/>
      <c r="V103" s="84"/>
      <c r="Z103" s="84"/>
      <c r="AD103" s="84"/>
      <c r="AH103" s="84"/>
      <c r="AL103" s="84"/>
      <c r="AP103" s="84"/>
      <c r="AT103" s="84"/>
      <c r="AX103" s="84"/>
      <c r="BB103" s="85"/>
      <c r="BC103" s="84"/>
      <c r="BD103" s="84"/>
      <c r="BF103" s="84"/>
      <c r="BL103" s="84"/>
      <c r="BP103" s="86"/>
      <c r="BV103" s="84"/>
      <c r="CA103" s="84"/>
      <c r="CF103" s="84"/>
      <c r="CK103" s="84"/>
      <c r="CP103" s="84"/>
      <c r="CS103" s="86"/>
      <c r="CT103" s="84"/>
      <c r="CW103" s="86"/>
      <c r="CX103" s="84"/>
      <c r="DA103" s="86"/>
      <c r="DB103" s="84"/>
      <c r="DE103" s="86"/>
      <c r="DF103" s="84"/>
      <c r="DI103" s="86"/>
      <c r="DJ103" s="84"/>
      <c r="DM103" s="86"/>
      <c r="DN103" s="84"/>
      <c r="DQ103" s="86"/>
      <c r="DR103" s="85"/>
      <c r="DS103" s="85"/>
      <c r="DT103" s="84"/>
      <c r="DV103" s="84"/>
      <c r="DW103" s="157"/>
      <c r="EB103" s="84"/>
      <c r="EG103" s="84"/>
      <c r="EK103" s="84"/>
      <c r="EO103" s="84"/>
      <c r="ES103" s="84"/>
      <c r="EW103" s="84"/>
    </row>
    <row r="104" customFormat="false" ht="12.75" hidden="false" customHeight="false" outlineLevel="0" collapsed="false">
      <c r="A104" s="37"/>
      <c r="E104" s="83"/>
      <c r="J104" s="84"/>
      <c r="N104" s="84"/>
      <c r="R104" s="84"/>
      <c r="V104" s="84"/>
      <c r="Z104" s="84"/>
      <c r="AD104" s="84"/>
      <c r="AH104" s="84"/>
      <c r="AL104" s="84"/>
      <c r="AP104" s="84"/>
      <c r="AT104" s="84"/>
      <c r="AX104" s="84"/>
      <c r="BB104" s="85"/>
      <c r="BC104" s="84"/>
      <c r="BD104" s="84"/>
      <c r="BF104" s="84"/>
      <c r="BL104" s="84"/>
      <c r="BP104" s="86"/>
      <c r="BV104" s="84"/>
      <c r="CA104" s="84"/>
      <c r="CF104" s="84"/>
      <c r="CK104" s="84"/>
      <c r="CP104" s="84"/>
      <c r="CS104" s="86"/>
      <c r="CT104" s="84"/>
      <c r="CW104" s="86"/>
      <c r="CX104" s="84"/>
      <c r="DA104" s="86"/>
      <c r="DB104" s="84"/>
      <c r="DE104" s="86"/>
      <c r="DF104" s="84"/>
      <c r="DI104" s="86"/>
      <c r="DJ104" s="84"/>
      <c r="DM104" s="86"/>
      <c r="DN104" s="84"/>
      <c r="DQ104" s="86"/>
      <c r="DR104" s="85"/>
      <c r="DS104" s="85"/>
      <c r="DT104" s="84"/>
      <c r="DV104" s="84"/>
      <c r="DW104" s="157"/>
      <c r="EB104" s="84"/>
      <c r="EG104" s="84"/>
      <c r="EK104" s="84"/>
      <c r="EO104" s="84"/>
      <c r="ES104" s="84"/>
      <c r="EW104" s="84"/>
    </row>
    <row r="105" customFormat="false" ht="12.75" hidden="false" customHeight="false" outlineLevel="0" collapsed="false">
      <c r="A105" s="37"/>
      <c r="E105" s="83"/>
      <c r="J105" s="84"/>
      <c r="N105" s="84"/>
      <c r="R105" s="84"/>
      <c r="V105" s="84"/>
      <c r="Z105" s="84"/>
      <c r="AD105" s="84"/>
      <c r="AH105" s="84"/>
      <c r="AL105" s="84"/>
      <c r="AP105" s="84"/>
      <c r="AT105" s="84"/>
      <c r="AX105" s="84"/>
      <c r="BB105" s="85"/>
      <c r="BC105" s="84"/>
      <c r="BD105" s="84"/>
      <c r="BF105" s="84"/>
      <c r="BL105" s="84"/>
      <c r="BP105" s="86"/>
      <c r="BV105" s="84"/>
      <c r="CA105" s="84"/>
      <c r="CF105" s="84"/>
      <c r="CK105" s="84"/>
      <c r="CP105" s="84"/>
      <c r="CS105" s="86"/>
      <c r="CT105" s="84"/>
      <c r="CW105" s="86"/>
      <c r="CX105" s="84"/>
      <c r="DA105" s="86"/>
      <c r="DB105" s="84"/>
      <c r="DE105" s="86"/>
      <c r="DF105" s="84"/>
      <c r="DI105" s="86"/>
      <c r="DJ105" s="84"/>
      <c r="DM105" s="86"/>
      <c r="DN105" s="84"/>
      <c r="DQ105" s="86"/>
      <c r="DR105" s="85"/>
      <c r="DS105" s="85"/>
      <c r="DT105" s="84"/>
      <c r="DV105" s="84"/>
      <c r="DW105" s="157"/>
      <c r="EB105" s="84"/>
      <c r="EG105" s="84"/>
      <c r="EK105" s="84"/>
      <c r="EO105" s="84"/>
      <c r="ES105" s="84"/>
      <c r="EW105" s="84"/>
    </row>
    <row r="106" customFormat="false" ht="12.75" hidden="false" customHeight="false" outlineLevel="0" collapsed="false">
      <c r="A106" s="37"/>
      <c r="E106" s="83"/>
      <c r="J106" s="84"/>
      <c r="N106" s="84"/>
      <c r="R106" s="84"/>
      <c r="V106" s="84"/>
      <c r="Z106" s="84"/>
      <c r="AD106" s="84"/>
      <c r="AH106" s="84"/>
      <c r="AL106" s="84"/>
      <c r="AP106" s="84"/>
      <c r="AT106" s="84"/>
      <c r="AX106" s="84"/>
      <c r="BB106" s="85"/>
      <c r="BC106" s="84"/>
      <c r="BD106" s="84"/>
      <c r="BF106" s="84"/>
      <c r="BL106" s="84"/>
      <c r="BP106" s="86"/>
      <c r="BV106" s="84"/>
      <c r="CA106" s="84"/>
      <c r="CF106" s="84"/>
      <c r="CK106" s="84"/>
      <c r="CP106" s="84"/>
      <c r="CS106" s="86"/>
      <c r="CT106" s="84"/>
      <c r="CW106" s="86"/>
      <c r="CX106" s="84"/>
      <c r="DA106" s="86"/>
      <c r="DB106" s="84"/>
      <c r="DE106" s="86"/>
      <c r="DF106" s="84"/>
      <c r="DI106" s="86"/>
      <c r="DJ106" s="84"/>
      <c r="DM106" s="86"/>
      <c r="DN106" s="84"/>
      <c r="DQ106" s="86"/>
      <c r="DR106" s="85"/>
      <c r="DS106" s="85"/>
      <c r="DT106" s="84"/>
      <c r="DV106" s="84"/>
      <c r="DW106" s="157"/>
      <c r="EB106" s="84"/>
      <c r="EG106" s="84"/>
      <c r="EK106" s="84"/>
      <c r="EO106" s="84"/>
      <c r="ES106" s="84"/>
      <c r="EW106" s="84"/>
    </row>
    <row r="107" customFormat="false" ht="12.75" hidden="false" customHeight="false" outlineLevel="0" collapsed="false">
      <c r="A107" s="37"/>
      <c r="E107" s="83"/>
      <c r="J107" s="84"/>
      <c r="N107" s="84"/>
      <c r="R107" s="84"/>
      <c r="V107" s="84"/>
      <c r="Z107" s="84"/>
      <c r="AD107" s="84"/>
      <c r="AH107" s="84"/>
      <c r="AL107" s="84"/>
      <c r="AP107" s="84"/>
      <c r="AT107" s="84"/>
      <c r="AX107" s="84"/>
      <c r="BB107" s="85"/>
      <c r="BC107" s="84"/>
      <c r="BD107" s="84"/>
      <c r="BF107" s="84"/>
      <c r="BL107" s="84"/>
      <c r="BP107" s="86"/>
      <c r="BV107" s="84"/>
      <c r="CA107" s="84"/>
      <c r="CF107" s="84"/>
      <c r="CK107" s="84"/>
      <c r="CP107" s="84"/>
      <c r="CS107" s="86"/>
      <c r="CT107" s="84"/>
      <c r="CW107" s="86"/>
      <c r="CX107" s="84"/>
      <c r="DA107" s="86"/>
      <c r="DB107" s="84"/>
      <c r="DE107" s="86"/>
      <c r="DF107" s="84"/>
      <c r="DI107" s="86"/>
      <c r="DJ107" s="84"/>
      <c r="DM107" s="86"/>
      <c r="DN107" s="84"/>
      <c r="DQ107" s="86"/>
      <c r="DR107" s="85"/>
      <c r="DS107" s="85"/>
      <c r="DT107" s="84"/>
      <c r="DV107" s="84"/>
      <c r="DW107" s="157"/>
      <c r="EB107" s="84"/>
      <c r="EG107" s="84"/>
      <c r="EK107" s="84"/>
      <c r="EO107" s="84"/>
      <c r="ES107" s="84"/>
      <c r="EW107" s="84"/>
    </row>
    <row r="108" customFormat="false" ht="12.75" hidden="false" customHeight="false" outlineLevel="0" collapsed="false">
      <c r="A108" s="37"/>
      <c r="E108" s="83"/>
      <c r="J108" s="84"/>
      <c r="N108" s="84"/>
      <c r="R108" s="84"/>
      <c r="V108" s="84"/>
      <c r="Z108" s="84"/>
      <c r="AD108" s="84"/>
      <c r="AH108" s="84"/>
      <c r="AL108" s="84"/>
      <c r="AP108" s="84"/>
      <c r="AT108" s="84"/>
      <c r="AX108" s="84"/>
      <c r="BB108" s="85"/>
      <c r="BC108" s="84"/>
      <c r="BD108" s="84"/>
      <c r="BF108" s="84"/>
      <c r="BL108" s="84"/>
      <c r="BP108" s="86"/>
      <c r="BV108" s="84"/>
      <c r="CA108" s="84"/>
      <c r="CF108" s="84"/>
      <c r="CK108" s="84"/>
      <c r="CP108" s="84"/>
      <c r="CS108" s="86"/>
      <c r="CT108" s="84"/>
      <c r="CW108" s="86"/>
      <c r="CX108" s="84"/>
      <c r="DA108" s="86"/>
      <c r="DB108" s="84"/>
      <c r="DE108" s="86"/>
      <c r="DF108" s="84"/>
      <c r="DI108" s="86"/>
      <c r="DJ108" s="84"/>
      <c r="DM108" s="86"/>
      <c r="DN108" s="84"/>
      <c r="DQ108" s="86"/>
      <c r="DR108" s="85"/>
      <c r="DS108" s="85"/>
      <c r="DT108" s="84"/>
      <c r="DV108" s="84"/>
      <c r="DW108" s="157"/>
      <c r="EB108" s="84"/>
      <c r="EG108" s="84"/>
      <c r="EK108" s="84"/>
      <c r="EO108" s="84"/>
      <c r="ES108" s="84"/>
      <c r="EW108" s="84"/>
    </row>
    <row r="109" customFormat="false" ht="12.75" hidden="false" customHeight="false" outlineLevel="0" collapsed="false">
      <c r="A109" s="37"/>
      <c r="E109" s="83"/>
      <c r="J109" s="84"/>
      <c r="N109" s="84"/>
      <c r="R109" s="84"/>
      <c r="V109" s="84"/>
      <c r="Z109" s="84"/>
      <c r="AD109" s="84"/>
      <c r="AH109" s="84"/>
      <c r="AL109" s="84"/>
      <c r="AP109" s="84"/>
      <c r="AT109" s="84"/>
      <c r="AX109" s="84"/>
      <c r="BB109" s="85"/>
      <c r="BC109" s="84"/>
      <c r="BD109" s="84"/>
      <c r="BF109" s="84"/>
      <c r="BL109" s="84"/>
      <c r="BP109" s="86"/>
      <c r="BV109" s="84"/>
      <c r="CA109" s="84"/>
      <c r="CF109" s="84"/>
      <c r="CK109" s="84"/>
      <c r="CP109" s="84"/>
      <c r="CS109" s="86"/>
      <c r="CT109" s="84"/>
      <c r="CW109" s="86"/>
      <c r="CX109" s="84"/>
      <c r="DA109" s="86"/>
      <c r="DB109" s="84"/>
      <c r="DE109" s="86"/>
      <c r="DF109" s="84"/>
      <c r="DI109" s="86"/>
      <c r="DJ109" s="84"/>
      <c r="DM109" s="86"/>
      <c r="DN109" s="84"/>
      <c r="DQ109" s="86"/>
      <c r="DR109" s="85"/>
      <c r="DS109" s="85"/>
      <c r="DT109" s="84"/>
      <c r="DV109" s="84"/>
      <c r="DW109" s="157"/>
      <c r="EB109" s="84"/>
      <c r="EG109" s="84"/>
      <c r="EK109" s="84"/>
      <c r="EO109" s="84"/>
      <c r="ES109" s="84"/>
      <c r="EW109" s="84"/>
    </row>
    <row r="110" customFormat="false" ht="12.75" hidden="false" customHeight="false" outlineLevel="0" collapsed="false">
      <c r="A110" s="37"/>
      <c r="E110" s="83"/>
      <c r="J110" s="84"/>
      <c r="N110" s="84"/>
      <c r="R110" s="84"/>
      <c r="V110" s="84"/>
      <c r="Z110" s="84"/>
      <c r="AD110" s="84"/>
      <c r="AH110" s="84"/>
      <c r="AL110" s="84"/>
      <c r="AP110" s="84"/>
      <c r="AT110" s="84"/>
      <c r="AX110" s="84"/>
      <c r="BB110" s="85"/>
      <c r="BC110" s="84"/>
      <c r="BD110" s="84"/>
      <c r="BF110" s="84"/>
      <c r="BL110" s="84"/>
      <c r="BP110" s="86"/>
      <c r="BV110" s="84"/>
      <c r="CA110" s="84"/>
      <c r="CF110" s="84"/>
      <c r="CK110" s="84"/>
      <c r="CP110" s="84"/>
      <c r="CS110" s="86"/>
      <c r="CT110" s="84"/>
      <c r="CW110" s="86"/>
      <c r="CX110" s="84"/>
      <c r="DA110" s="86"/>
      <c r="DB110" s="84"/>
      <c r="DE110" s="86"/>
      <c r="DF110" s="84"/>
      <c r="DI110" s="86"/>
      <c r="DJ110" s="84"/>
      <c r="DM110" s="86"/>
      <c r="DN110" s="84"/>
      <c r="DQ110" s="86"/>
      <c r="DR110" s="85"/>
      <c r="DS110" s="85"/>
      <c r="DT110" s="84"/>
      <c r="DV110" s="84"/>
      <c r="DW110" s="157"/>
      <c r="EB110" s="84"/>
      <c r="EG110" s="84"/>
      <c r="EK110" s="84"/>
      <c r="EO110" s="84"/>
      <c r="ES110" s="84"/>
      <c r="EW110" s="84"/>
    </row>
    <row r="111" customFormat="false" ht="12.75" hidden="false" customHeight="false" outlineLevel="0" collapsed="false">
      <c r="A111" s="37"/>
      <c r="E111" s="83"/>
      <c r="J111" s="84"/>
      <c r="N111" s="84"/>
      <c r="R111" s="84"/>
      <c r="V111" s="84"/>
      <c r="Z111" s="84"/>
      <c r="AD111" s="84"/>
      <c r="AH111" s="84"/>
      <c r="AL111" s="84"/>
      <c r="AP111" s="84"/>
      <c r="AT111" s="84"/>
      <c r="AX111" s="84"/>
      <c r="BB111" s="85"/>
      <c r="BC111" s="84"/>
      <c r="BD111" s="84"/>
      <c r="BF111" s="84"/>
      <c r="BL111" s="84"/>
      <c r="BP111" s="86"/>
      <c r="BV111" s="84"/>
      <c r="CA111" s="84"/>
      <c r="CF111" s="84"/>
      <c r="CK111" s="84"/>
      <c r="CP111" s="84"/>
      <c r="CS111" s="86"/>
      <c r="CT111" s="84"/>
      <c r="CW111" s="86"/>
      <c r="CX111" s="84"/>
      <c r="DA111" s="86"/>
      <c r="DB111" s="84"/>
      <c r="DE111" s="86"/>
      <c r="DF111" s="84"/>
      <c r="DI111" s="86"/>
      <c r="DJ111" s="84"/>
      <c r="DM111" s="86"/>
      <c r="DN111" s="84"/>
      <c r="DQ111" s="86"/>
      <c r="DR111" s="85"/>
      <c r="DS111" s="85"/>
      <c r="DT111" s="84"/>
      <c r="DV111" s="84"/>
      <c r="DW111" s="157"/>
      <c r="EB111" s="84"/>
      <c r="EG111" s="84"/>
      <c r="EK111" s="84"/>
      <c r="EO111" s="84"/>
      <c r="ES111" s="84"/>
      <c r="EW111" s="84"/>
    </row>
    <row r="112" customFormat="false" ht="12.75" hidden="false" customHeight="false" outlineLevel="0" collapsed="false">
      <c r="A112" s="37"/>
      <c r="E112" s="83"/>
      <c r="J112" s="84"/>
      <c r="N112" s="84"/>
      <c r="R112" s="84"/>
      <c r="V112" s="84"/>
      <c r="Z112" s="84"/>
      <c r="AD112" s="84"/>
      <c r="AH112" s="84"/>
      <c r="AL112" s="84"/>
      <c r="AP112" s="84"/>
      <c r="AT112" s="84"/>
      <c r="AX112" s="84"/>
      <c r="BB112" s="85"/>
      <c r="BC112" s="84"/>
      <c r="BD112" s="84"/>
      <c r="BF112" s="84"/>
      <c r="BL112" s="84"/>
      <c r="BP112" s="86"/>
      <c r="BV112" s="84"/>
      <c r="CA112" s="84"/>
      <c r="CF112" s="84"/>
      <c r="CK112" s="84"/>
      <c r="CP112" s="84"/>
      <c r="CS112" s="86"/>
      <c r="CT112" s="84"/>
      <c r="CW112" s="86"/>
      <c r="CX112" s="84"/>
      <c r="DA112" s="86"/>
      <c r="DB112" s="84"/>
      <c r="DE112" s="86"/>
      <c r="DF112" s="84"/>
      <c r="DI112" s="86"/>
      <c r="DJ112" s="84"/>
      <c r="DM112" s="86"/>
      <c r="DN112" s="84"/>
      <c r="DQ112" s="86"/>
      <c r="DR112" s="85"/>
      <c r="DS112" s="85"/>
      <c r="DT112" s="84"/>
      <c r="DV112" s="84"/>
      <c r="DW112" s="157"/>
      <c r="EB112" s="84"/>
      <c r="EG112" s="84"/>
      <c r="EK112" s="84"/>
      <c r="EO112" s="84"/>
      <c r="ES112" s="84"/>
      <c r="EW112" s="84"/>
    </row>
    <row r="113" customFormat="false" ht="12.75" hidden="false" customHeight="false" outlineLevel="0" collapsed="false">
      <c r="A113" s="37"/>
      <c r="E113" s="83"/>
      <c r="J113" s="84"/>
      <c r="N113" s="84"/>
      <c r="R113" s="84"/>
      <c r="V113" s="84"/>
      <c r="Z113" s="84"/>
      <c r="AD113" s="84"/>
      <c r="AH113" s="84"/>
      <c r="AL113" s="84"/>
      <c r="AP113" s="84"/>
      <c r="AT113" s="84"/>
      <c r="AX113" s="84"/>
      <c r="BB113" s="85"/>
      <c r="BC113" s="84"/>
      <c r="BD113" s="84"/>
      <c r="BF113" s="84"/>
      <c r="BL113" s="84"/>
      <c r="BP113" s="86"/>
      <c r="BV113" s="84"/>
      <c r="CA113" s="84"/>
      <c r="CF113" s="84"/>
      <c r="CK113" s="84"/>
      <c r="CP113" s="84"/>
      <c r="CS113" s="86"/>
      <c r="CT113" s="84"/>
      <c r="CW113" s="86"/>
      <c r="CX113" s="84"/>
      <c r="DA113" s="86"/>
      <c r="DB113" s="84"/>
      <c r="DE113" s="86"/>
      <c r="DF113" s="84"/>
      <c r="DI113" s="86"/>
      <c r="DJ113" s="84"/>
      <c r="DM113" s="86"/>
      <c r="DN113" s="84"/>
      <c r="DQ113" s="86"/>
      <c r="DR113" s="85"/>
      <c r="DS113" s="85"/>
      <c r="DT113" s="84"/>
      <c r="DV113" s="84"/>
      <c r="DW113" s="157"/>
      <c r="EB113" s="84"/>
      <c r="EG113" s="84"/>
      <c r="EK113" s="84"/>
      <c r="EO113" s="84"/>
      <c r="ES113" s="84"/>
      <c r="EW113" s="84"/>
    </row>
    <row r="114" customFormat="false" ht="12.75" hidden="false" customHeight="false" outlineLevel="0" collapsed="false">
      <c r="A114" s="37"/>
      <c r="E114" s="83"/>
      <c r="J114" s="84"/>
      <c r="N114" s="84"/>
      <c r="R114" s="84"/>
      <c r="V114" s="84"/>
      <c r="Z114" s="84"/>
      <c r="AD114" s="84"/>
      <c r="AH114" s="84"/>
      <c r="AL114" s="84"/>
      <c r="AP114" s="84"/>
      <c r="AT114" s="84"/>
      <c r="AX114" s="84"/>
      <c r="BB114" s="85"/>
      <c r="BC114" s="84"/>
      <c r="BD114" s="84"/>
      <c r="BF114" s="84"/>
      <c r="BL114" s="84"/>
      <c r="BP114" s="86"/>
      <c r="BV114" s="84"/>
      <c r="CA114" s="84"/>
      <c r="CF114" s="84"/>
      <c r="CK114" s="84"/>
      <c r="CP114" s="84"/>
      <c r="CS114" s="86"/>
      <c r="CT114" s="84"/>
      <c r="CW114" s="86"/>
      <c r="CX114" s="84"/>
      <c r="DA114" s="86"/>
      <c r="DB114" s="84"/>
      <c r="DE114" s="86"/>
      <c r="DF114" s="84"/>
      <c r="DI114" s="86"/>
      <c r="DJ114" s="84"/>
      <c r="DM114" s="86"/>
      <c r="DN114" s="84"/>
      <c r="DQ114" s="86"/>
      <c r="DR114" s="85"/>
      <c r="DS114" s="85"/>
      <c r="DT114" s="84"/>
      <c r="DV114" s="84"/>
      <c r="DW114" s="157"/>
      <c r="EB114" s="84"/>
      <c r="EG114" s="84"/>
      <c r="EK114" s="84"/>
      <c r="EO114" s="84"/>
      <c r="ES114" s="84"/>
      <c r="EW114" s="84"/>
    </row>
    <row r="115" customFormat="false" ht="12.75" hidden="false" customHeight="false" outlineLevel="0" collapsed="false">
      <c r="A115" s="37"/>
      <c r="E115" s="83"/>
      <c r="J115" s="84"/>
      <c r="N115" s="84"/>
      <c r="R115" s="84"/>
      <c r="V115" s="84"/>
      <c r="Z115" s="84"/>
      <c r="AD115" s="84"/>
      <c r="AH115" s="84"/>
      <c r="AL115" s="84"/>
      <c r="AP115" s="84"/>
      <c r="AT115" s="84"/>
      <c r="AX115" s="84"/>
      <c r="BB115" s="85"/>
      <c r="BC115" s="84"/>
      <c r="BD115" s="84"/>
      <c r="BF115" s="84"/>
      <c r="BL115" s="84"/>
      <c r="BP115" s="86"/>
      <c r="BV115" s="84"/>
      <c r="CA115" s="84"/>
      <c r="CF115" s="84"/>
      <c r="CK115" s="84"/>
      <c r="CP115" s="84"/>
      <c r="CS115" s="86"/>
      <c r="CT115" s="84"/>
      <c r="CW115" s="86"/>
      <c r="CX115" s="84"/>
      <c r="DA115" s="86"/>
      <c r="DB115" s="84"/>
      <c r="DE115" s="86"/>
      <c r="DF115" s="84"/>
      <c r="DI115" s="86"/>
      <c r="DJ115" s="84"/>
      <c r="DM115" s="86"/>
      <c r="DN115" s="84"/>
      <c r="DQ115" s="86"/>
      <c r="DR115" s="85"/>
      <c r="DS115" s="85"/>
      <c r="DT115" s="84"/>
      <c r="DV115" s="84"/>
      <c r="DW115" s="157"/>
      <c r="EB115" s="84"/>
      <c r="EG115" s="84"/>
      <c r="EK115" s="84"/>
      <c r="EO115" s="84"/>
      <c r="ES115" s="84"/>
      <c r="EW115" s="84"/>
    </row>
    <row r="116" customFormat="false" ht="12.75" hidden="false" customHeight="false" outlineLevel="0" collapsed="false">
      <c r="A116" s="37"/>
      <c r="E116" s="83"/>
      <c r="J116" s="84"/>
      <c r="N116" s="84"/>
      <c r="R116" s="84"/>
      <c r="V116" s="84"/>
      <c r="Z116" s="84"/>
      <c r="AD116" s="84"/>
      <c r="AH116" s="84"/>
      <c r="AL116" s="84"/>
      <c r="AP116" s="84"/>
      <c r="AT116" s="84"/>
      <c r="AX116" s="84"/>
      <c r="BB116" s="85"/>
      <c r="BC116" s="84"/>
      <c r="BD116" s="84"/>
      <c r="BF116" s="84"/>
      <c r="BL116" s="84"/>
      <c r="BP116" s="86"/>
      <c r="BV116" s="84"/>
      <c r="CA116" s="84"/>
      <c r="CF116" s="84"/>
      <c r="CK116" s="84"/>
      <c r="CP116" s="84"/>
      <c r="CS116" s="86"/>
      <c r="CT116" s="84"/>
      <c r="CW116" s="86"/>
      <c r="CX116" s="84"/>
      <c r="DA116" s="86"/>
      <c r="DB116" s="84"/>
      <c r="DE116" s="86"/>
      <c r="DF116" s="84"/>
      <c r="DI116" s="86"/>
      <c r="DJ116" s="84"/>
      <c r="DM116" s="86"/>
      <c r="DN116" s="84"/>
      <c r="DQ116" s="86"/>
      <c r="DR116" s="85"/>
      <c r="DS116" s="85"/>
      <c r="DT116" s="84"/>
      <c r="DV116" s="84"/>
      <c r="DW116" s="157"/>
      <c r="EB116" s="84"/>
      <c r="EG116" s="84"/>
      <c r="EK116" s="84"/>
      <c r="EO116" s="84"/>
      <c r="ES116" s="84"/>
      <c r="EW116" s="84"/>
    </row>
    <row r="117" customFormat="false" ht="12.75" hidden="false" customHeight="false" outlineLevel="0" collapsed="false">
      <c r="A117" s="37"/>
      <c r="E117" s="83"/>
      <c r="J117" s="84"/>
      <c r="N117" s="84"/>
      <c r="R117" s="84"/>
      <c r="V117" s="84"/>
      <c r="Z117" s="84"/>
      <c r="AD117" s="84"/>
      <c r="AH117" s="84"/>
      <c r="AL117" s="84"/>
      <c r="AP117" s="84"/>
      <c r="AT117" s="84"/>
      <c r="AX117" s="84"/>
      <c r="BB117" s="85"/>
      <c r="BC117" s="84"/>
      <c r="BD117" s="84"/>
      <c r="BF117" s="84"/>
      <c r="BL117" s="84"/>
      <c r="BP117" s="86"/>
      <c r="BV117" s="84"/>
      <c r="CA117" s="84"/>
      <c r="CF117" s="84"/>
      <c r="CK117" s="84"/>
      <c r="CP117" s="84"/>
      <c r="CS117" s="86"/>
      <c r="CT117" s="84"/>
      <c r="CW117" s="86"/>
      <c r="CX117" s="84"/>
      <c r="DA117" s="86"/>
      <c r="DB117" s="84"/>
      <c r="DE117" s="86"/>
      <c r="DF117" s="84"/>
      <c r="DI117" s="86"/>
      <c r="DJ117" s="84"/>
      <c r="DM117" s="86"/>
      <c r="DN117" s="84"/>
      <c r="DQ117" s="86"/>
      <c r="DR117" s="85"/>
      <c r="DS117" s="85"/>
      <c r="DT117" s="84"/>
      <c r="DV117" s="84"/>
      <c r="DW117" s="157"/>
      <c r="EB117" s="84"/>
      <c r="EG117" s="84"/>
      <c r="EK117" s="84"/>
      <c r="EO117" s="84"/>
      <c r="ES117" s="84"/>
      <c r="EW117" s="84"/>
    </row>
    <row r="118" customFormat="false" ht="12.75" hidden="false" customHeight="false" outlineLevel="0" collapsed="false">
      <c r="A118" s="37"/>
      <c r="E118" s="83"/>
      <c r="J118" s="84"/>
      <c r="N118" s="84"/>
      <c r="R118" s="84"/>
      <c r="V118" s="84"/>
      <c r="Z118" s="84"/>
      <c r="AD118" s="84"/>
      <c r="AH118" s="84"/>
      <c r="AL118" s="84"/>
      <c r="AP118" s="84"/>
      <c r="AT118" s="84"/>
      <c r="AX118" s="84"/>
      <c r="BB118" s="85"/>
      <c r="BC118" s="84"/>
      <c r="BD118" s="84"/>
      <c r="BF118" s="84"/>
      <c r="BL118" s="84"/>
      <c r="BP118" s="86"/>
      <c r="BV118" s="84"/>
      <c r="CA118" s="84"/>
      <c r="CF118" s="84"/>
      <c r="CK118" s="84"/>
      <c r="CP118" s="84"/>
      <c r="CS118" s="86"/>
      <c r="CT118" s="84"/>
      <c r="CW118" s="86"/>
      <c r="CX118" s="84"/>
      <c r="DA118" s="86"/>
      <c r="DB118" s="84"/>
      <c r="DE118" s="86"/>
      <c r="DF118" s="84"/>
      <c r="DI118" s="86"/>
      <c r="DJ118" s="84"/>
      <c r="DM118" s="86"/>
      <c r="DN118" s="84"/>
      <c r="DQ118" s="86"/>
      <c r="DR118" s="85"/>
      <c r="DS118" s="85"/>
      <c r="DT118" s="84"/>
      <c r="DV118" s="84"/>
      <c r="DW118" s="157"/>
      <c r="EB118" s="84"/>
      <c r="EG118" s="84"/>
      <c r="EK118" s="84"/>
      <c r="EO118" s="84"/>
      <c r="ES118" s="84"/>
      <c r="EW118" s="84"/>
    </row>
    <row r="119" customFormat="false" ht="12.75" hidden="false" customHeight="false" outlineLevel="0" collapsed="false">
      <c r="A119" s="37"/>
      <c r="E119" s="83"/>
      <c r="J119" s="84"/>
      <c r="N119" s="84"/>
      <c r="R119" s="84"/>
      <c r="V119" s="84"/>
      <c r="Z119" s="84"/>
      <c r="AD119" s="84"/>
      <c r="AH119" s="84"/>
      <c r="AL119" s="84"/>
      <c r="AP119" s="84"/>
      <c r="AT119" s="84"/>
      <c r="AX119" s="84"/>
      <c r="BB119" s="85"/>
      <c r="BC119" s="84"/>
      <c r="BD119" s="84"/>
      <c r="BF119" s="84"/>
      <c r="BL119" s="84"/>
      <c r="BP119" s="86"/>
      <c r="BV119" s="84"/>
      <c r="CA119" s="84"/>
      <c r="CF119" s="84"/>
      <c r="CK119" s="84"/>
      <c r="CP119" s="84"/>
      <c r="CS119" s="86"/>
      <c r="CT119" s="84"/>
      <c r="CW119" s="86"/>
      <c r="CX119" s="84"/>
      <c r="DA119" s="86"/>
      <c r="DB119" s="84"/>
      <c r="DE119" s="86"/>
      <c r="DF119" s="84"/>
      <c r="DI119" s="86"/>
      <c r="DJ119" s="84"/>
      <c r="DM119" s="86"/>
      <c r="DN119" s="84"/>
      <c r="DQ119" s="86"/>
      <c r="DR119" s="85"/>
      <c r="DS119" s="85"/>
      <c r="DT119" s="84"/>
      <c r="DV119" s="84"/>
      <c r="DW119" s="157"/>
      <c r="EB119" s="84"/>
      <c r="EG119" s="84"/>
      <c r="EK119" s="84"/>
      <c r="EO119" s="84"/>
      <c r="ES119" s="84"/>
      <c r="EW119" s="84"/>
    </row>
    <row r="120" customFormat="false" ht="12.75" hidden="false" customHeight="false" outlineLevel="0" collapsed="false">
      <c r="A120" s="37"/>
      <c r="E120" s="83"/>
      <c r="J120" s="84"/>
      <c r="N120" s="84"/>
      <c r="R120" s="84"/>
      <c r="V120" s="84"/>
      <c r="Z120" s="84"/>
      <c r="AD120" s="84"/>
      <c r="AH120" s="84"/>
      <c r="AL120" s="84"/>
      <c r="AP120" s="84"/>
      <c r="AT120" s="84"/>
      <c r="AX120" s="84"/>
      <c r="BB120" s="85"/>
      <c r="BC120" s="84"/>
      <c r="BD120" s="84"/>
      <c r="BF120" s="84"/>
      <c r="BL120" s="84"/>
      <c r="BP120" s="86"/>
      <c r="BV120" s="84"/>
      <c r="CA120" s="84"/>
      <c r="CF120" s="84"/>
      <c r="CK120" s="84"/>
      <c r="CP120" s="84"/>
      <c r="CS120" s="86"/>
      <c r="CT120" s="84"/>
      <c r="CW120" s="86"/>
      <c r="CX120" s="84"/>
      <c r="DA120" s="86"/>
      <c r="DB120" s="84"/>
      <c r="DE120" s="86"/>
      <c r="DF120" s="84"/>
      <c r="DI120" s="86"/>
      <c r="DJ120" s="84"/>
      <c r="DM120" s="86"/>
      <c r="DN120" s="84"/>
      <c r="DQ120" s="86"/>
      <c r="DR120" s="85"/>
      <c r="DS120" s="85"/>
      <c r="DT120" s="84"/>
      <c r="DV120" s="84"/>
      <c r="DW120" s="157"/>
      <c r="EB120" s="84"/>
      <c r="EG120" s="84"/>
      <c r="EK120" s="84"/>
      <c r="EO120" s="84"/>
      <c r="ES120" s="84"/>
      <c r="EW120" s="84"/>
    </row>
    <row r="121" customFormat="false" ht="12.75" hidden="false" customHeight="false" outlineLevel="0" collapsed="false">
      <c r="A121" s="37"/>
      <c r="E121" s="83"/>
      <c r="J121" s="84"/>
      <c r="N121" s="84"/>
      <c r="R121" s="84"/>
      <c r="V121" s="84"/>
      <c r="Z121" s="84"/>
      <c r="AD121" s="84"/>
      <c r="AH121" s="84"/>
      <c r="AL121" s="84"/>
      <c r="AP121" s="84"/>
      <c r="AT121" s="84"/>
      <c r="AX121" s="84"/>
      <c r="BB121" s="85"/>
      <c r="BC121" s="84"/>
      <c r="BD121" s="84"/>
      <c r="BF121" s="84"/>
      <c r="BL121" s="84"/>
      <c r="BP121" s="86"/>
      <c r="BV121" s="84"/>
      <c r="CA121" s="84"/>
      <c r="CF121" s="84"/>
      <c r="CK121" s="84"/>
      <c r="CP121" s="84"/>
      <c r="CS121" s="86"/>
      <c r="CT121" s="84"/>
      <c r="CW121" s="86"/>
      <c r="CX121" s="84"/>
      <c r="DA121" s="86"/>
      <c r="DB121" s="84"/>
      <c r="DE121" s="86"/>
      <c r="DF121" s="84"/>
      <c r="DI121" s="86"/>
      <c r="DJ121" s="84"/>
      <c r="DM121" s="86"/>
      <c r="DN121" s="84"/>
      <c r="DQ121" s="86"/>
      <c r="DR121" s="85"/>
      <c r="DS121" s="85"/>
      <c r="DT121" s="84"/>
      <c r="DV121" s="84"/>
      <c r="DW121" s="157"/>
      <c r="EB121" s="84"/>
      <c r="EG121" s="84"/>
      <c r="EK121" s="84"/>
      <c r="EO121" s="84"/>
      <c r="ES121" s="84"/>
      <c r="EW121" s="84"/>
    </row>
    <row r="122" customFormat="false" ht="12.75" hidden="false" customHeight="false" outlineLevel="0" collapsed="false">
      <c r="A122" s="37"/>
      <c r="E122" s="83"/>
      <c r="J122" s="84"/>
      <c r="N122" s="84"/>
      <c r="R122" s="84"/>
      <c r="V122" s="84"/>
      <c r="Z122" s="84"/>
      <c r="AD122" s="84"/>
      <c r="AH122" s="84"/>
      <c r="AL122" s="84"/>
      <c r="AP122" s="84"/>
      <c r="AT122" s="84"/>
      <c r="AX122" s="84"/>
      <c r="BB122" s="85"/>
      <c r="BC122" s="84"/>
      <c r="BD122" s="84"/>
      <c r="BF122" s="84"/>
      <c r="BL122" s="84"/>
      <c r="BP122" s="86"/>
      <c r="BV122" s="84"/>
      <c r="CA122" s="84"/>
      <c r="CF122" s="84"/>
      <c r="CK122" s="84"/>
      <c r="CP122" s="84"/>
      <c r="CS122" s="86"/>
      <c r="CT122" s="84"/>
      <c r="CW122" s="86"/>
      <c r="CX122" s="84"/>
      <c r="DA122" s="86"/>
      <c r="DB122" s="84"/>
      <c r="DE122" s="86"/>
      <c r="DF122" s="84"/>
      <c r="DI122" s="86"/>
      <c r="DJ122" s="84"/>
      <c r="DM122" s="86"/>
      <c r="DN122" s="84"/>
      <c r="DQ122" s="86"/>
      <c r="DR122" s="85"/>
      <c r="DS122" s="85"/>
      <c r="DT122" s="84"/>
      <c r="DV122" s="84"/>
      <c r="DW122" s="157"/>
      <c r="EB122" s="84"/>
      <c r="EG122" s="84"/>
      <c r="EK122" s="84"/>
      <c r="EO122" s="84"/>
      <c r="ES122" s="84"/>
      <c r="EW122" s="84"/>
    </row>
    <row r="123" customFormat="false" ht="12.75" hidden="false" customHeight="false" outlineLevel="0" collapsed="false">
      <c r="A123" s="37"/>
      <c r="E123" s="83"/>
      <c r="J123" s="84"/>
      <c r="N123" s="84"/>
      <c r="R123" s="84"/>
      <c r="V123" s="84"/>
      <c r="Z123" s="84"/>
      <c r="AD123" s="84"/>
      <c r="AH123" s="84"/>
      <c r="AL123" s="84"/>
      <c r="AP123" s="84"/>
      <c r="AT123" s="84"/>
      <c r="AX123" s="84"/>
      <c r="BB123" s="85"/>
      <c r="BC123" s="84"/>
      <c r="BD123" s="84"/>
      <c r="BF123" s="84"/>
      <c r="BL123" s="84"/>
      <c r="BP123" s="86"/>
      <c r="BV123" s="84"/>
      <c r="CA123" s="84"/>
      <c r="CF123" s="84"/>
      <c r="CK123" s="84"/>
      <c r="CP123" s="84"/>
      <c r="CS123" s="86"/>
      <c r="CT123" s="84"/>
      <c r="CW123" s="86"/>
      <c r="CX123" s="84"/>
      <c r="DA123" s="86"/>
      <c r="DB123" s="84"/>
      <c r="DE123" s="86"/>
      <c r="DF123" s="84"/>
      <c r="DI123" s="86"/>
      <c r="DJ123" s="84"/>
      <c r="DM123" s="86"/>
      <c r="DN123" s="84"/>
      <c r="DQ123" s="86"/>
      <c r="DR123" s="85"/>
      <c r="DS123" s="85"/>
      <c r="DT123" s="84"/>
      <c r="DV123" s="84"/>
      <c r="DW123" s="157"/>
      <c r="EB123" s="84"/>
      <c r="EG123" s="84"/>
      <c r="EK123" s="84"/>
      <c r="EO123" s="84"/>
      <c r="ES123" s="84"/>
      <c r="EW123" s="84"/>
    </row>
    <row r="124" customFormat="false" ht="12.75" hidden="false" customHeight="false" outlineLevel="0" collapsed="false">
      <c r="A124" s="37"/>
      <c r="E124" s="83"/>
      <c r="J124" s="84"/>
      <c r="N124" s="84"/>
      <c r="R124" s="84"/>
      <c r="V124" s="84"/>
      <c r="Z124" s="84"/>
      <c r="AD124" s="84"/>
      <c r="AH124" s="84"/>
      <c r="AL124" s="84"/>
      <c r="AP124" s="84"/>
      <c r="AT124" s="84"/>
      <c r="AX124" s="84"/>
      <c r="BB124" s="85"/>
      <c r="BC124" s="84"/>
      <c r="BD124" s="84"/>
      <c r="BF124" s="84"/>
      <c r="BL124" s="84"/>
      <c r="BP124" s="86"/>
      <c r="BV124" s="84"/>
      <c r="CA124" s="84"/>
      <c r="CF124" s="84"/>
      <c r="CK124" s="84"/>
      <c r="CP124" s="84"/>
      <c r="CS124" s="86"/>
      <c r="CT124" s="84"/>
      <c r="CW124" s="86"/>
      <c r="CX124" s="84"/>
      <c r="DA124" s="86"/>
      <c r="DB124" s="84"/>
      <c r="DE124" s="86"/>
      <c r="DF124" s="84"/>
      <c r="DI124" s="86"/>
      <c r="DJ124" s="84"/>
      <c r="DM124" s="86"/>
      <c r="DN124" s="84"/>
      <c r="DQ124" s="86"/>
      <c r="DR124" s="85"/>
      <c r="DS124" s="85"/>
      <c r="DT124" s="84"/>
      <c r="DV124" s="84"/>
      <c r="DW124" s="157"/>
      <c r="EB124" s="84"/>
      <c r="EG124" s="84"/>
      <c r="EK124" s="84"/>
      <c r="EO124" s="84"/>
      <c r="ES124" s="84"/>
      <c r="EW124" s="84"/>
    </row>
    <row r="125" customFormat="false" ht="12.75" hidden="false" customHeight="false" outlineLevel="0" collapsed="false">
      <c r="A125" s="37"/>
      <c r="E125" s="83"/>
      <c r="J125" s="84"/>
      <c r="N125" s="84"/>
      <c r="R125" s="84"/>
      <c r="V125" s="84"/>
      <c r="Z125" s="84"/>
      <c r="AD125" s="84"/>
      <c r="AH125" s="84"/>
      <c r="AL125" s="84"/>
      <c r="AP125" s="84"/>
      <c r="AT125" s="84"/>
      <c r="AX125" s="84"/>
      <c r="BB125" s="85"/>
      <c r="BC125" s="84"/>
      <c r="BD125" s="84"/>
      <c r="BF125" s="84"/>
      <c r="BL125" s="84"/>
      <c r="BP125" s="86"/>
      <c r="BV125" s="84"/>
      <c r="CA125" s="84"/>
      <c r="CF125" s="84"/>
      <c r="CK125" s="84"/>
      <c r="CP125" s="84"/>
      <c r="CS125" s="86"/>
      <c r="CT125" s="84"/>
      <c r="CW125" s="86"/>
      <c r="CX125" s="84"/>
      <c r="DA125" s="86"/>
      <c r="DB125" s="84"/>
      <c r="DE125" s="86"/>
      <c r="DF125" s="84"/>
      <c r="DI125" s="86"/>
      <c r="DJ125" s="84"/>
      <c r="DM125" s="86"/>
      <c r="DN125" s="84"/>
      <c r="DQ125" s="86"/>
      <c r="DR125" s="85"/>
      <c r="DS125" s="85"/>
      <c r="DT125" s="84"/>
      <c r="DV125" s="84"/>
      <c r="DW125" s="157"/>
      <c r="EB125" s="84"/>
      <c r="EG125" s="84"/>
      <c r="EK125" s="84"/>
      <c r="EO125" s="84"/>
      <c r="ES125" s="84"/>
      <c r="EW125" s="84"/>
    </row>
    <row r="126" customFormat="false" ht="12.75" hidden="false" customHeight="false" outlineLevel="0" collapsed="false">
      <c r="A126" s="37"/>
      <c r="E126" s="83"/>
      <c r="J126" s="84"/>
      <c r="N126" s="84"/>
      <c r="R126" s="84"/>
      <c r="V126" s="84"/>
      <c r="Z126" s="84"/>
      <c r="AD126" s="84"/>
      <c r="AH126" s="84"/>
      <c r="AL126" s="84"/>
      <c r="AP126" s="84"/>
      <c r="AT126" s="84"/>
      <c r="AX126" s="84"/>
      <c r="BB126" s="85"/>
      <c r="BC126" s="84"/>
      <c r="BD126" s="84"/>
      <c r="BF126" s="84"/>
      <c r="BL126" s="84"/>
      <c r="BP126" s="86"/>
      <c r="BV126" s="84"/>
      <c r="CA126" s="84"/>
      <c r="CF126" s="84"/>
      <c r="CK126" s="84"/>
      <c r="CP126" s="84"/>
      <c r="CS126" s="86"/>
      <c r="CT126" s="84"/>
      <c r="CW126" s="86"/>
      <c r="CX126" s="84"/>
      <c r="DA126" s="86"/>
      <c r="DB126" s="84"/>
      <c r="DE126" s="86"/>
      <c r="DF126" s="84"/>
      <c r="DI126" s="86"/>
      <c r="DJ126" s="84"/>
      <c r="DM126" s="86"/>
      <c r="DN126" s="84"/>
      <c r="DQ126" s="86"/>
      <c r="DR126" s="85"/>
      <c r="DS126" s="85"/>
      <c r="DT126" s="84"/>
      <c r="DV126" s="84"/>
      <c r="DW126" s="157"/>
      <c r="EB126" s="84"/>
      <c r="EG126" s="84"/>
      <c r="EK126" s="84"/>
      <c r="EO126" s="84"/>
      <c r="ES126" s="84"/>
      <c r="EW126" s="84"/>
    </row>
    <row r="127" customFormat="false" ht="12.75" hidden="false" customHeight="false" outlineLevel="0" collapsed="false">
      <c r="A127" s="37"/>
      <c r="E127" s="83"/>
      <c r="J127" s="84"/>
      <c r="N127" s="84"/>
      <c r="R127" s="84"/>
      <c r="V127" s="84"/>
      <c r="Z127" s="84"/>
      <c r="AD127" s="84"/>
      <c r="AH127" s="84"/>
      <c r="AL127" s="84"/>
      <c r="AP127" s="84"/>
      <c r="AT127" s="84"/>
      <c r="AX127" s="84"/>
      <c r="BB127" s="85"/>
      <c r="BC127" s="84"/>
      <c r="BD127" s="84"/>
      <c r="BF127" s="84"/>
      <c r="BL127" s="84"/>
      <c r="BP127" s="86"/>
      <c r="BV127" s="84"/>
      <c r="CA127" s="84"/>
      <c r="CF127" s="84"/>
      <c r="CK127" s="84"/>
      <c r="CP127" s="84"/>
      <c r="CS127" s="86"/>
      <c r="CT127" s="84"/>
      <c r="CW127" s="86"/>
      <c r="CX127" s="84"/>
      <c r="DA127" s="86"/>
      <c r="DB127" s="84"/>
      <c r="DE127" s="86"/>
      <c r="DF127" s="84"/>
      <c r="DI127" s="86"/>
      <c r="DJ127" s="84"/>
      <c r="DM127" s="86"/>
      <c r="DN127" s="84"/>
      <c r="DQ127" s="86"/>
      <c r="DR127" s="85"/>
      <c r="DS127" s="85"/>
      <c r="DT127" s="84"/>
      <c r="DV127" s="84"/>
      <c r="DW127" s="157"/>
      <c r="EB127" s="84"/>
      <c r="EG127" s="84"/>
      <c r="EK127" s="84"/>
      <c r="EO127" s="84"/>
      <c r="ES127" s="84"/>
      <c r="EW127" s="84"/>
    </row>
    <row r="128" customFormat="false" ht="12.75" hidden="false" customHeight="false" outlineLevel="0" collapsed="false">
      <c r="A128" s="37"/>
      <c r="E128" s="83"/>
      <c r="J128" s="84"/>
      <c r="N128" s="84"/>
      <c r="R128" s="84"/>
      <c r="V128" s="84"/>
      <c r="Z128" s="84"/>
      <c r="AD128" s="84"/>
      <c r="AH128" s="84"/>
      <c r="AL128" s="84"/>
      <c r="AP128" s="84"/>
      <c r="AT128" s="84"/>
      <c r="AX128" s="84"/>
      <c r="BB128" s="85"/>
      <c r="BC128" s="84"/>
      <c r="BD128" s="84"/>
      <c r="BF128" s="84"/>
      <c r="BL128" s="84"/>
      <c r="BP128" s="86"/>
      <c r="BV128" s="84"/>
      <c r="CA128" s="84"/>
      <c r="CF128" s="84"/>
      <c r="CK128" s="84"/>
      <c r="CP128" s="84"/>
      <c r="CS128" s="86"/>
      <c r="CT128" s="84"/>
      <c r="CW128" s="86"/>
      <c r="CX128" s="84"/>
      <c r="DA128" s="86"/>
      <c r="DB128" s="84"/>
      <c r="DE128" s="86"/>
      <c r="DF128" s="84"/>
      <c r="DI128" s="86"/>
      <c r="DJ128" s="84"/>
      <c r="DM128" s="86"/>
      <c r="DN128" s="84"/>
      <c r="DQ128" s="86"/>
      <c r="DR128" s="85"/>
      <c r="DS128" s="85"/>
      <c r="DT128" s="84"/>
      <c r="DV128" s="84"/>
      <c r="DW128" s="157"/>
      <c r="EB128" s="84"/>
      <c r="EG128" s="84"/>
      <c r="EK128" s="84"/>
      <c r="EO128" s="84"/>
      <c r="ES128" s="84"/>
      <c r="EW128" s="84"/>
    </row>
    <row r="129" customFormat="false" ht="12.75" hidden="false" customHeight="false" outlineLevel="0" collapsed="false">
      <c r="A129" s="37"/>
      <c r="E129" s="83"/>
      <c r="J129" s="84"/>
      <c r="N129" s="84"/>
      <c r="R129" s="84"/>
      <c r="V129" s="84"/>
      <c r="Z129" s="84"/>
      <c r="AD129" s="84"/>
      <c r="AH129" s="84"/>
      <c r="AL129" s="84"/>
      <c r="AP129" s="84"/>
      <c r="AT129" s="84"/>
      <c r="AX129" s="84"/>
      <c r="BB129" s="85"/>
      <c r="BC129" s="84"/>
      <c r="BD129" s="84"/>
      <c r="BF129" s="84"/>
      <c r="BL129" s="84"/>
      <c r="BP129" s="86"/>
      <c r="BV129" s="84"/>
      <c r="CA129" s="84"/>
      <c r="CF129" s="84"/>
      <c r="CK129" s="84"/>
      <c r="CP129" s="84"/>
      <c r="CS129" s="86"/>
      <c r="CT129" s="84"/>
      <c r="CW129" s="86"/>
      <c r="CX129" s="84"/>
      <c r="DA129" s="86"/>
      <c r="DB129" s="84"/>
      <c r="DE129" s="86"/>
      <c r="DF129" s="84"/>
      <c r="DI129" s="86"/>
      <c r="DJ129" s="84"/>
      <c r="DM129" s="86"/>
      <c r="DN129" s="84"/>
      <c r="DQ129" s="86"/>
      <c r="DR129" s="85"/>
      <c r="DS129" s="85"/>
      <c r="DT129" s="84"/>
      <c r="DV129" s="84"/>
      <c r="DW129" s="157"/>
      <c r="EB129" s="84"/>
      <c r="EG129" s="84"/>
      <c r="EK129" s="84"/>
      <c r="EO129" s="84"/>
      <c r="ES129" s="84"/>
      <c r="EW129" s="84"/>
    </row>
    <row r="130" customFormat="false" ht="12.75" hidden="false" customHeight="false" outlineLevel="0" collapsed="false">
      <c r="A130" s="37"/>
      <c r="E130" s="83"/>
      <c r="J130" s="84"/>
      <c r="N130" s="84"/>
      <c r="R130" s="84"/>
      <c r="V130" s="84"/>
      <c r="Z130" s="84"/>
      <c r="AD130" s="84"/>
      <c r="AH130" s="84"/>
      <c r="AL130" s="84"/>
      <c r="AP130" s="84"/>
      <c r="AT130" s="84"/>
      <c r="AX130" s="84"/>
      <c r="BB130" s="85"/>
      <c r="BC130" s="84"/>
      <c r="BD130" s="84"/>
      <c r="BF130" s="84"/>
      <c r="BL130" s="84"/>
      <c r="BP130" s="86"/>
      <c r="BV130" s="84"/>
      <c r="CA130" s="84"/>
      <c r="CF130" s="84"/>
      <c r="CK130" s="84"/>
      <c r="CP130" s="84"/>
      <c r="CS130" s="86"/>
      <c r="CT130" s="84"/>
      <c r="CW130" s="86"/>
      <c r="CX130" s="84"/>
      <c r="DA130" s="86"/>
      <c r="DB130" s="84"/>
      <c r="DE130" s="86"/>
      <c r="DF130" s="84"/>
      <c r="DI130" s="86"/>
      <c r="DJ130" s="84"/>
      <c r="DM130" s="86"/>
      <c r="DN130" s="84"/>
      <c r="DQ130" s="86"/>
      <c r="DR130" s="85"/>
      <c r="DS130" s="85"/>
      <c r="DT130" s="84"/>
      <c r="DV130" s="84"/>
      <c r="DW130" s="157"/>
      <c r="EB130" s="84"/>
      <c r="EG130" s="84"/>
      <c r="EK130" s="84"/>
      <c r="EO130" s="84"/>
      <c r="ES130" s="84"/>
      <c r="EW130" s="84"/>
    </row>
    <row r="131" customFormat="false" ht="12.75" hidden="false" customHeight="false" outlineLevel="0" collapsed="false">
      <c r="A131" s="37"/>
      <c r="E131" s="83"/>
      <c r="J131" s="84"/>
      <c r="N131" s="84"/>
      <c r="R131" s="84"/>
      <c r="V131" s="84"/>
      <c r="Z131" s="84"/>
      <c r="AD131" s="84"/>
      <c r="AH131" s="84"/>
      <c r="AL131" s="84"/>
      <c r="AP131" s="84"/>
      <c r="AT131" s="84"/>
      <c r="AX131" s="84"/>
      <c r="BB131" s="85"/>
      <c r="BC131" s="84"/>
      <c r="BD131" s="84"/>
      <c r="BF131" s="84"/>
      <c r="BL131" s="84"/>
      <c r="BP131" s="86"/>
      <c r="BV131" s="84"/>
      <c r="CA131" s="84"/>
      <c r="CF131" s="84"/>
      <c r="CK131" s="84"/>
      <c r="CP131" s="84"/>
      <c r="CS131" s="86"/>
      <c r="CT131" s="84"/>
      <c r="CW131" s="86"/>
      <c r="CX131" s="84"/>
      <c r="DA131" s="86"/>
      <c r="DB131" s="84"/>
      <c r="DE131" s="86"/>
      <c r="DF131" s="84"/>
      <c r="DI131" s="86"/>
      <c r="DJ131" s="84"/>
      <c r="DM131" s="86"/>
      <c r="DN131" s="84"/>
      <c r="DQ131" s="86"/>
      <c r="DR131" s="85"/>
      <c r="DS131" s="85"/>
      <c r="DT131" s="84"/>
      <c r="DV131" s="84"/>
      <c r="DW131" s="157"/>
      <c r="EB131" s="84"/>
      <c r="EG131" s="84"/>
      <c r="EK131" s="84"/>
      <c r="EO131" s="84"/>
      <c r="ES131" s="84"/>
      <c r="EW131" s="84"/>
    </row>
    <row r="132" customFormat="false" ht="12.75" hidden="false" customHeight="false" outlineLevel="0" collapsed="false">
      <c r="A132" s="37"/>
      <c r="E132" s="83"/>
      <c r="J132" s="84"/>
      <c r="N132" s="84"/>
      <c r="R132" s="84"/>
      <c r="V132" s="84"/>
      <c r="Z132" s="84"/>
      <c r="AD132" s="84"/>
      <c r="AH132" s="84"/>
      <c r="AL132" s="84"/>
      <c r="AP132" s="84"/>
      <c r="AT132" s="84"/>
      <c r="AX132" s="84"/>
      <c r="BB132" s="85"/>
      <c r="BC132" s="84"/>
      <c r="BD132" s="84"/>
      <c r="BF132" s="84"/>
      <c r="BL132" s="84"/>
      <c r="BP132" s="86"/>
      <c r="BV132" s="84"/>
      <c r="CA132" s="84"/>
      <c r="CF132" s="84"/>
      <c r="CK132" s="84"/>
      <c r="CP132" s="84"/>
      <c r="CS132" s="86"/>
      <c r="CT132" s="84"/>
      <c r="CW132" s="86"/>
      <c r="CX132" s="84"/>
      <c r="DA132" s="86"/>
      <c r="DB132" s="84"/>
      <c r="DE132" s="86"/>
      <c r="DF132" s="84"/>
      <c r="DI132" s="86"/>
      <c r="DJ132" s="84"/>
      <c r="DM132" s="86"/>
      <c r="DN132" s="84"/>
      <c r="DQ132" s="86"/>
      <c r="DR132" s="85"/>
      <c r="DS132" s="85"/>
      <c r="DT132" s="84"/>
      <c r="DV132" s="84"/>
      <c r="DW132" s="157"/>
      <c r="EB132" s="84"/>
      <c r="EG132" s="84"/>
      <c r="EK132" s="84"/>
      <c r="EO132" s="84"/>
      <c r="ES132" s="84"/>
      <c r="EW132" s="84"/>
    </row>
    <row r="133" customFormat="false" ht="12.75" hidden="false" customHeight="false" outlineLevel="0" collapsed="false">
      <c r="A133" s="37"/>
      <c r="E133" s="83"/>
      <c r="J133" s="84"/>
      <c r="N133" s="84"/>
      <c r="R133" s="84"/>
      <c r="V133" s="84"/>
      <c r="Z133" s="84"/>
      <c r="AD133" s="84"/>
      <c r="AH133" s="84"/>
      <c r="AL133" s="84"/>
      <c r="AP133" s="84"/>
      <c r="AT133" s="84"/>
      <c r="AX133" s="84"/>
      <c r="BB133" s="85"/>
      <c r="BC133" s="84"/>
      <c r="BD133" s="84"/>
      <c r="BF133" s="84"/>
      <c r="BL133" s="84"/>
      <c r="BP133" s="86"/>
      <c r="BV133" s="84"/>
      <c r="CA133" s="84"/>
      <c r="CF133" s="84"/>
      <c r="CK133" s="84"/>
      <c r="CP133" s="84"/>
      <c r="CS133" s="86"/>
      <c r="CT133" s="84"/>
      <c r="CW133" s="86"/>
      <c r="CX133" s="84"/>
      <c r="DA133" s="86"/>
      <c r="DB133" s="84"/>
      <c r="DE133" s="86"/>
      <c r="DF133" s="84"/>
      <c r="DI133" s="86"/>
      <c r="DJ133" s="84"/>
      <c r="DM133" s="86"/>
      <c r="DN133" s="84"/>
      <c r="DQ133" s="86"/>
      <c r="DR133" s="85"/>
      <c r="DS133" s="85"/>
      <c r="DT133" s="84"/>
      <c r="DV133" s="84"/>
      <c r="DW133" s="157"/>
      <c r="EB133" s="84"/>
      <c r="EG133" s="84"/>
      <c r="EK133" s="84"/>
      <c r="EO133" s="84"/>
      <c r="ES133" s="84"/>
      <c r="EW133" s="84"/>
    </row>
    <row r="134" customFormat="false" ht="12.75" hidden="false" customHeight="false" outlineLevel="0" collapsed="false">
      <c r="A134" s="37"/>
      <c r="E134" s="83"/>
      <c r="J134" s="84"/>
      <c r="N134" s="84"/>
      <c r="R134" s="84"/>
      <c r="V134" s="84"/>
      <c r="Z134" s="84"/>
      <c r="AD134" s="84"/>
      <c r="AH134" s="84"/>
      <c r="AL134" s="84"/>
      <c r="AP134" s="84"/>
      <c r="AT134" s="84"/>
      <c r="AX134" s="84"/>
      <c r="BB134" s="85"/>
      <c r="BC134" s="84"/>
      <c r="BD134" s="84"/>
      <c r="BF134" s="84"/>
      <c r="BL134" s="84"/>
      <c r="BP134" s="86"/>
      <c r="BV134" s="84"/>
      <c r="CA134" s="84"/>
      <c r="CF134" s="84"/>
      <c r="CK134" s="84"/>
      <c r="CP134" s="84"/>
      <c r="CS134" s="86"/>
      <c r="CT134" s="84"/>
      <c r="CW134" s="86"/>
      <c r="CX134" s="84"/>
      <c r="DA134" s="86"/>
      <c r="DB134" s="84"/>
      <c r="DE134" s="86"/>
      <c r="DF134" s="84"/>
      <c r="DI134" s="86"/>
      <c r="DJ134" s="84"/>
      <c r="DM134" s="86"/>
      <c r="DN134" s="84"/>
      <c r="DQ134" s="86"/>
      <c r="DR134" s="85"/>
      <c r="DS134" s="85"/>
      <c r="DT134" s="84"/>
      <c r="DV134" s="84"/>
      <c r="DW134" s="157"/>
      <c r="EB134" s="84"/>
      <c r="EG134" s="84"/>
      <c r="EK134" s="84"/>
      <c r="EO134" s="84"/>
      <c r="ES134" s="84"/>
      <c r="EW134" s="84"/>
    </row>
    <row r="135" customFormat="false" ht="12.75" hidden="false" customHeight="false" outlineLevel="0" collapsed="false">
      <c r="A135" s="37"/>
      <c r="E135" s="83"/>
      <c r="J135" s="84"/>
      <c r="N135" s="84"/>
      <c r="R135" s="84"/>
      <c r="V135" s="84"/>
      <c r="Z135" s="84"/>
      <c r="AD135" s="84"/>
      <c r="AH135" s="84"/>
      <c r="AL135" s="84"/>
      <c r="AP135" s="84"/>
      <c r="AT135" s="84"/>
      <c r="AX135" s="84"/>
      <c r="BB135" s="85"/>
      <c r="BC135" s="84"/>
      <c r="BD135" s="84"/>
      <c r="BF135" s="84"/>
      <c r="BL135" s="84"/>
      <c r="BP135" s="86"/>
      <c r="BV135" s="84"/>
      <c r="CA135" s="84"/>
      <c r="CF135" s="84"/>
      <c r="CK135" s="84"/>
      <c r="CP135" s="84"/>
      <c r="CS135" s="86"/>
      <c r="CT135" s="84"/>
      <c r="CW135" s="86"/>
      <c r="CX135" s="84"/>
      <c r="DA135" s="86"/>
      <c r="DB135" s="84"/>
      <c r="DE135" s="86"/>
      <c r="DF135" s="84"/>
      <c r="DI135" s="86"/>
      <c r="DJ135" s="84"/>
      <c r="DM135" s="86"/>
      <c r="DN135" s="84"/>
      <c r="DQ135" s="86"/>
      <c r="DR135" s="85"/>
      <c r="DS135" s="85"/>
      <c r="DT135" s="84"/>
      <c r="DV135" s="84"/>
      <c r="DW135" s="157"/>
      <c r="EB135" s="84"/>
      <c r="EG135" s="84"/>
      <c r="EK135" s="84"/>
      <c r="EO135" s="84"/>
      <c r="ES135" s="84"/>
      <c r="EW135" s="84"/>
    </row>
    <row r="136" customFormat="false" ht="12.75" hidden="false" customHeight="false" outlineLevel="0" collapsed="false">
      <c r="A136" s="37"/>
      <c r="E136" s="83"/>
      <c r="J136" s="84"/>
      <c r="N136" s="84"/>
      <c r="R136" s="84"/>
      <c r="V136" s="84"/>
      <c r="Z136" s="84"/>
      <c r="AD136" s="84"/>
      <c r="AH136" s="84"/>
      <c r="AL136" s="84"/>
      <c r="AP136" s="84"/>
      <c r="AT136" s="84"/>
      <c r="AX136" s="84"/>
      <c r="BB136" s="85"/>
      <c r="BC136" s="84"/>
      <c r="BD136" s="84"/>
      <c r="BF136" s="84"/>
      <c r="BL136" s="84"/>
      <c r="BP136" s="86"/>
      <c r="BV136" s="84"/>
      <c r="CA136" s="84"/>
      <c r="CF136" s="84"/>
      <c r="CK136" s="84"/>
      <c r="CP136" s="84"/>
      <c r="CS136" s="86"/>
      <c r="CT136" s="84"/>
      <c r="CW136" s="86"/>
      <c r="CX136" s="84"/>
      <c r="DA136" s="86"/>
      <c r="DB136" s="84"/>
      <c r="DE136" s="86"/>
      <c r="DF136" s="84"/>
      <c r="DI136" s="86"/>
      <c r="DJ136" s="84"/>
      <c r="DM136" s="86"/>
      <c r="DN136" s="84"/>
      <c r="DQ136" s="86"/>
      <c r="DR136" s="85"/>
      <c r="DS136" s="85"/>
      <c r="DT136" s="84"/>
      <c r="DV136" s="84"/>
      <c r="DW136" s="157"/>
      <c r="EB136" s="84"/>
      <c r="EG136" s="84"/>
      <c r="EK136" s="84"/>
      <c r="EO136" s="84"/>
      <c r="ES136" s="84"/>
      <c r="EW136" s="84"/>
    </row>
    <row r="137" customFormat="false" ht="12.75" hidden="false" customHeight="false" outlineLevel="0" collapsed="false">
      <c r="A137" s="37"/>
      <c r="E137" s="83"/>
      <c r="J137" s="84"/>
      <c r="N137" s="84"/>
      <c r="R137" s="84"/>
      <c r="V137" s="84"/>
      <c r="Z137" s="84"/>
      <c r="AD137" s="84"/>
      <c r="AH137" s="84"/>
      <c r="AL137" s="84"/>
      <c r="AP137" s="84"/>
      <c r="AT137" s="84"/>
      <c r="AX137" s="84"/>
      <c r="BB137" s="85"/>
      <c r="BC137" s="84"/>
      <c r="BD137" s="84"/>
      <c r="BF137" s="84"/>
      <c r="BL137" s="84"/>
      <c r="BP137" s="86"/>
      <c r="BV137" s="84"/>
      <c r="CA137" s="84"/>
      <c r="CF137" s="84"/>
      <c r="CK137" s="84"/>
      <c r="CP137" s="84"/>
      <c r="CS137" s="86"/>
      <c r="CT137" s="84"/>
      <c r="CW137" s="86"/>
      <c r="CX137" s="84"/>
      <c r="DA137" s="86"/>
      <c r="DB137" s="84"/>
      <c r="DE137" s="86"/>
      <c r="DF137" s="84"/>
      <c r="DI137" s="86"/>
      <c r="DJ137" s="84"/>
      <c r="DM137" s="86"/>
      <c r="DN137" s="84"/>
      <c r="DQ137" s="86"/>
      <c r="DR137" s="85"/>
      <c r="DS137" s="85"/>
      <c r="DT137" s="84"/>
      <c r="DV137" s="84"/>
      <c r="DW137" s="157"/>
      <c r="EB137" s="84"/>
      <c r="EG137" s="84"/>
      <c r="EK137" s="84"/>
      <c r="EO137" s="84"/>
      <c r="ES137" s="84"/>
      <c r="EW137" s="84"/>
    </row>
    <row r="138" customFormat="false" ht="12.75" hidden="false" customHeight="false" outlineLevel="0" collapsed="false">
      <c r="A138" s="37"/>
      <c r="E138" s="83"/>
      <c r="J138" s="84"/>
      <c r="N138" s="84"/>
      <c r="R138" s="84"/>
      <c r="V138" s="84"/>
      <c r="Z138" s="84"/>
      <c r="AD138" s="84"/>
      <c r="AH138" s="84"/>
      <c r="AL138" s="84"/>
      <c r="AP138" s="84"/>
      <c r="AT138" s="84"/>
      <c r="AX138" s="84"/>
      <c r="BB138" s="85"/>
      <c r="BC138" s="84"/>
      <c r="BD138" s="84"/>
      <c r="BF138" s="84"/>
      <c r="BL138" s="84"/>
      <c r="BP138" s="86"/>
      <c r="BV138" s="84"/>
      <c r="CA138" s="84"/>
      <c r="CF138" s="84"/>
      <c r="CK138" s="84"/>
      <c r="CP138" s="84"/>
      <c r="CS138" s="86"/>
      <c r="CT138" s="84"/>
      <c r="CW138" s="86"/>
      <c r="CX138" s="84"/>
      <c r="DA138" s="86"/>
      <c r="DB138" s="84"/>
      <c r="DE138" s="86"/>
      <c r="DF138" s="84"/>
      <c r="DI138" s="86"/>
      <c r="DJ138" s="84"/>
      <c r="DM138" s="86"/>
      <c r="DN138" s="84"/>
      <c r="DQ138" s="86"/>
      <c r="DR138" s="85"/>
      <c r="DS138" s="85"/>
      <c r="DT138" s="84"/>
      <c r="DV138" s="84"/>
      <c r="DW138" s="157"/>
      <c r="EB138" s="84"/>
      <c r="EG138" s="84"/>
      <c r="EK138" s="84"/>
      <c r="EO138" s="84"/>
      <c r="ES138" s="84"/>
      <c r="EW138" s="84"/>
    </row>
    <row r="139" customFormat="false" ht="12.75" hidden="false" customHeight="false" outlineLevel="0" collapsed="false">
      <c r="A139" s="37"/>
      <c r="E139" s="83"/>
      <c r="J139" s="84"/>
      <c r="N139" s="84"/>
      <c r="R139" s="84"/>
      <c r="V139" s="84"/>
      <c r="Z139" s="84"/>
      <c r="AD139" s="84"/>
      <c r="AH139" s="84"/>
      <c r="AL139" s="84"/>
      <c r="AP139" s="84"/>
      <c r="AT139" s="84"/>
      <c r="AX139" s="84"/>
      <c r="BB139" s="85"/>
      <c r="BC139" s="84"/>
      <c r="BD139" s="84"/>
      <c r="BF139" s="84"/>
      <c r="BL139" s="84"/>
      <c r="BP139" s="86"/>
      <c r="BV139" s="84"/>
      <c r="CA139" s="84"/>
      <c r="CF139" s="84"/>
      <c r="CK139" s="84"/>
      <c r="CP139" s="84"/>
      <c r="CS139" s="86"/>
      <c r="CT139" s="84"/>
      <c r="CW139" s="86"/>
      <c r="CX139" s="84"/>
      <c r="DA139" s="86"/>
      <c r="DB139" s="84"/>
      <c r="DE139" s="86"/>
      <c r="DF139" s="84"/>
      <c r="DI139" s="86"/>
      <c r="DJ139" s="84"/>
      <c r="DM139" s="86"/>
      <c r="DN139" s="84"/>
      <c r="DQ139" s="86"/>
      <c r="DR139" s="85"/>
      <c r="DS139" s="85"/>
      <c r="DT139" s="84"/>
      <c r="DV139" s="84"/>
      <c r="DW139" s="157"/>
      <c r="EB139" s="84"/>
      <c r="EG139" s="84"/>
      <c r="EK139" s="84"/>
      <c r="EO139" s="84"/>
      <c r="ES139" s="84"/>
      <c r="EW139" s="84"/>
    </row>
    <row r="140" customFormat="false" ht="12.75" hidden="false" customHeight="false" outlineLevel="0" collapsed="false">
      <c r="A140" s="37"/>
      <c r="E140" s="83"/>
      <c r="J140" s="84"/>
      <c r="N140" s="84"/>
      <c r="R140" s="84"/>
      <c r="V140" s="84"/>
      <c r="Z140" s="84"/>
      <c r="AD140" s="84"/>
      <c r="AH140" s="84"/>
      <c r="AL140" s="84"/>
      <c r="AP140" s="84"/>
      <c r="AT140" s="84"/>
      <c r="AX140" s="84"/>
      <c r="BB140" s="85"/>
      <c r="BC140" s="84"/>
      <c r="BD140" s="84"/>
      <c r="BF140" s="84"/>
      <c r="BL140" s="84"/>
      <c r="BP140" s="86"/>
      <c r="BV140" s="84"/>
      <c r="CA140" s="84"/>
      <c r="CF140" s="84"/>
      <c r="CK140" s="84"/>
      <c r="CP140" s="84"/>
      <c r="CS140" s="86"/>
      <c r="CT140" s="84"/>
      <c r="CW140" s="86"/>
      <c r="CX140" s="84"/>
      <c r="DA140" s="86"/>
      <c r="DB140" s="84"/>
      <c r="DE140" s="86"/>
      <c r="DF140" s="84"/>
      <c r="DI140" s="86"/>
      <c r="DJ140" s="84"/>
      <c r="DM140" s="86"/>
      <c r="DN140" s="84"/>
      <c r="DQ140" s="86"/>
      <c r="DR140" s="85"/>
      <c r="DS140" s="85"/>
      <c r="DT140" s="84"/>
      <c r="DV140" s="84"/>
      <c r="DW140" s="157"/>
      <c r="EB140" s="84"/>
      <c r="EG140" s="84"/>
      <c r="EK140" s="84"/>
      <c r="EO140" s="84"/>
      <c r="ES140" s="84"/>
      <c r="EW140" s="84"/>
    </row>
    <row r="141" customFormat="false" ht="12.75" hidden="false" customHeight="false" outlineLevel="0" collapsed="false">
      <c r="A141" s="37"/>
      <c r="E141" s="83"/>
      <c r="J141" s="84"/>
      <c r="N141" s="84"/>
      <c r="R141" s="84"/>
      <c r="V141" s="84"/>
      <c r="Z141" s="84"/>
      <c r="AD141" s="84"/>
      <c r="AH141" s="84"/>
      <c r="AL141" s="84"/>
      <c r="AP141" s="84"/>
      <c r="AT141" s="84"/>
      <c r="AX141" s="84"/>
      <c r="BB141" s="85"/>
      <c r="BC141" s="84"/>
      <c r="BD141" s="84"/>
      <c r="BF141" s="84"/>
      <c r="BL141" s="84"/>
      <c r="BP141" s="86"/>
      <c r="BV141" s="84"/>
      <c r="CA141" s="84"/>
      <c r="CF141" s="84"/>
      <c r="CK141" s="84"/>
      <c r="CP141" s="84"/>
      <c r="CS141" s="86"/>
      <c r="CT141" s="84"/>
      <c r="CW141" s="86"/>
      <c r="CX141" s="84"/>
      <c r="DA141" s="86"/>
      <c r="DB141" s="84"/>
      <c r="DE141" s="86"/>
      <c r="DF141" s="84"/>
      <c r="DI141" s="86"/>
      <c r="DJ141" s="84"/>
      <c r="DM141" s="86"/>
      <c r="DN141" s="84"/>
      <c r="DQ141" s="86"/>
      <c r="DR141" s="85"/>
      <c r="DS141" s="85"/>
      <c r="DT141" s="84"/>
      <c r="DV141" s="84"/>
      <c r="DW141" s="157"/>
      <c r="EB141" s="84"/>
      <c r="EG141" s="84"/>
      <c r="EK141" s="84"/>
      <c r="EO141" s="84"/>
      <c r="ES141" s="84"/>
      <c r="EW141" s="84"/>
    </row>
    <row r="142" customFormat="false" ht="12.75" hidden="false" customHeight="false" outlineLevel="0" collapsed="false">
      <c r="A142" s="37"/>
      <c r="E142" s="83"/>
      <c r="J142" s="84"/>
      <c r="N142" s="84"/>
      <c r="R142" s="84"/>
      <c r="V142" s="84"/>
      <c r="Z142" s="84"/>
      <c r="AD142" s="84"/>
      <c r="AH142" s="84"/>
      <c r="AL142" s="84"/>
      <c r="AP142" s="84"/>
      <c r="AT142" s="84"/>
      <c r="AX142" s="84"/>
      <c r="BB142" s="85"/>
      <c r="BC142" s="84"/>
      <c r="BD142" s="84"/>
      <c r="BF142" s="84"/>
      <c r="BL142" s="84"/>
      <c r="BP142" s="86"/>
      <c r="BV142" s="84"/>
      <c r="CA142" s="84"/>
      <c r="CF142" s="84"/>
      <c r="CK142" s="84"/>
      <c r="CP142" s="84"/>
      <c r="CS142" s="86"/>
      <c r="CT142" s="84"/>
      <c r="CW142" s="86"/>
      <c r="CX142" s="84"/>
      <c r="DA142" s="86"/>
      <c r="DB142" s="84"/>
      <c r="DE142" s="86"/>
      <c r="DF142" s="84"/>
      <c r="DI142" s="86"/>
      <c r="DJ142" s="84"/>
      <c r="DM142" s="86"/>
      <c r="DN142" s="84"/>
      <c r="DQ142" s="86"/>
      <c r="DR142" s="85"/>
      <c r="DS142" s="85"/>
      <c r="DT142" s="84"/>
      <c r="DV142" s="84"/>
      <c r="DW142" s="157"/>
      <c r="EB142" s="84"/>
      <c r="EG142" s="84"/>
      <c r="EK142" s="84"/>
      <c r="EO142" s="84"/>
      <c r="ES142" s="84"/>
      <c r="EW142" s="84"/>
    </row>
    <row r="143" customFormat="false" ht="12.75" hidden="false" customHeight="false" outlineLevel="0" collapsed="false">
      <c r="A143" s="37"/>
      <c r="E143" s="83"/>
      <c r="J143" s="84"/>
      <c r="N143" s="84"/>
      <c r="R143" s="84"/>
      <c r="V143" s="84"/>
      <c r="Z143" s="84"/>
      <c r="AD143" s="84"/>
      <c r="AH143" s="84"/>
      <c r="AL143" s="84"/>
      <c r="AP143" s="84"/>
      <c r="AT143" s="84"/>
      <c r="AX143" s="84"/>
      <c r="BB143" s="85"/>
      <c r="BC143" s="84"/>
      <c r="BD143" s="84"/>
      <c r="BF143" s="84"/>
      <c r="BL143" s="84"/>
      <c r="BP143" s="86"/>
      <c r="BV143" s="84"/>
      <c r="CA143" s="84"/>
      <c r="CF143" s="84"/>
      <c r="CK143" s="84"/>
      <c r="CP143" s="84"/>
      <c r="CS143" s="86"/>
      <c r="CT143" s="84"/>
      <c r="CW143" s="86"/>
      <c r="CX143" s="84"/>
      <c r="DA143" s="86"/>
      <c r="DB143" s="84"/>
      <c r="DE143" s="86"/>
      <c r="DF143" s="84"/>
      <c r="DI143" s="86"/>
      <c r="DJ143" s="84"/>
      <c r="DM143" s="86"/>
      <c r="DN143" s="84"/>
      <c r="DQ143" s="86"/>
      <c r="DR143" s="85"/>
      <c r="DS143" s="85"/>
      <c r="DT143" s="84"/>
      <c r="DV143" s="84"/>
      <c r="DW143" s="157"/>
      <c r="EB143" s="84"/>
      <c r="EG143" s="84"/>
      <c r="EK143" s="84"/>
      <c r="EO143" s="84"/>
      <c r="ES143" s="84"/>
      <c r="EW143" s="84"/>
    </row>
    <row r="144" customFormat="false" ht="12.75" hidden="false" customHeight="false" outlineLevel="0" collapsed="false">
      <c r="A144" s="37"/>
      <c r="E144" s="83"/>
      <c r="J144" s="84"/>
      <c r="N144" s="84"/>
      <c r="R144" s="84"/>
      <c r="V144" s="84"/>
      <c r="Z144" s="84"/>
      <c r="AD144" s="84"/>
      <c r="AH144" s="84"/>
      <c r="AL144" s="84"/>
      <c r="AP144" s="84"/>
      <c r="AT144" s="84"/>
      <c r="AX144" s="84"/>
      <c r="BB144" s="85"/>
      <c r="BC144" s="84"/>
      <c r="BD144" s="84"/>
      <c r="BF144" s="84"/>
      <c r="BL144" s="84"/>
      <c r="BP144" s="86"/>
      <c r="BV144" s="84"/>
      <c r="CA144" s="84"/>
      <c r="CF144" s="84"/>
      <c r="CK144" s="84"/>
      <c r="CP144" s="84"/>
      <c r="CS144" s="86"/>
      <c r="CT144" s="84"/>
      <c r="CW144" s="86"/>
      <c r="CX144" s="84"/>
      <c r="DA144" s="86"/>
      <c r="DB144" s="84"/>
      <c r="DE144" s="86"/>
      <c r="DF144" s="84"/>
      <c r="DI144" s="86"/>
      <c r="DJ144" s="84"/>
      <c r="DM144" s="86"/>
      <c r="DN144" s="84"/>
      <c r="DQ144" s="86"/>
      <c r="DR144" s="85"/>
      <c r="DS144" s="85"/>
      <c r="DT144" s="84"/>
      <c r="DV144" s="84"/>
      <c r="DW144" s="157"/>
      <c r="EB144" s="84"/>
      <c r="EG144" s="84"/>
      <c r="EK144" s="84"/>
      <c r="EO144" s="84"/>
      <c r="ES144" s="84"/>
      <c r="EW144" s="84"/>
    </row>
    <row r="145" customFormat="false" ht="12.75" hidden="false" customHeight="false" outlineLevel="0" collapsed="false">
      <c r="A145" s="37"/>
      <c r="E145" s="83"/>
      <c r="J145" s="84"/>
      <c r="N145" s="84"/>
      <c r="R145" s="84"/>
      <c r="V145" s="84"/>
      <c r="Z145" s="84"/>
      <c r="AD145" s="84"/>
      <c r="AH145" s="84"/>
      <c r="AL145" s="84"/>
      <c r="AP145" s="84"/>
      <c r="AT145" s="84"/>
      <c r="AX145" s="84"/>
      <c r="BB145" s="85"/>
      <c r="BC145" s="84"/>
      <c r="BD145" s="84"/>
      <c r="BF145" s="84"/>
      <c r="BL145" s="84"/>
      <c r="BP145" s="86"/>
      <c r="BV145" s="84"/>
      <c r="CA145" s="84"/>
      <c r="CF145" s="84"/>
      <c r="CK145" s="84"/>
      <c r="CP145" s="84"/>
      <c r="CS145" s="86"/>
      <c r="CT145" s="84"/>
      <c r="CW145" s="86"/>
      <c r="CX145" s="84"/>
      <c r="DA145" s="86"/>
      <c r="DB145" s="84"/>
      <c r="DE145" s="86"/>
      <c r="DF145" s="84"/>
      <c r="DI145" s="86"/>
      <c r="DJ145" s="84"/>
      <c r="DM145" s="86"/>
      <c r="DN145" s="84"/>
      <c r="DQ145" s="86"/>
      <c r="DR145" s="85"/>
      <c r="DS145" s="85"/>
      <c r="DT145" s="84"/>
      <c r="DV145" s="84"/>
      <c r="DW145" s="157"/>
      <c r="EB145" s="84"/>
      <c r="EG145" s="84"/>
      <c r="EK145" s="84"/>
      <c r="EO145" s="84"/>
      <c r="ES145" s="84"/>
      <c r="EW145" s="84"/>
    </row>
    <row r="146" customFormat="false" ht="12.75" hidden="false" customHeight="false" outlineLevel="0" collapsed="false">
      <c r="A146" s="37"/>
      <c r="E146" s="83"/>
      <c r="J146" s="84"/>
      <c r="N146" s="84"/>
      <c r="R146" s="84"/>
      <c r="V146" s="84"/>
      <c r="Z146" s="84"/>
      <c r="AD146" s="84"/>
      <c r="AH146" s="84"/>
      <c r="AL146" s="84"/>
      <c r="AP146" s="84"/>
      <c r="AT146" s="84"/>
      <c r="AX146" s="84"/>
      <c r="BB146" s="85"/>
      <c r="BC146" s="84"/>
      <c r="BD146" s="84"/>
      <c r="BF146" s="84"/>
      <c r="BL146" s="84"/>
      <c r="BP146" s="86"/>
      <c r="BV146" s="84"/>
      <c r="CA146" s="84"/>
      <c r="CF146" s="84"/>
      <c r="CK146" s="84"/>
      <c r="CP146" s="84"/>
      <c r="CS146" s="86"/>
      <c r="CT146" s="84"/>
      <c r="CW146" s="86"/>
      <c r="CX146" s="84"/>
      <c r="DA146" s="86"/>
      <c r="DB146" s="84"/>
      <c r="DE146" s="86"/>
      <c r="DF146" s="84"/>
      <c r="DI146" s="86"/>
      <c r="DJ146" s="84"/>
      <c r="DM146" s="86"/>
      <c r="DN146" s="84"/>
      <c r="DQ146" s="86"/>
      <c r="DR146" s="85"/>
      <c r="DS146" s="85"/>
      <c r="DT146" s="84"/>
      <c r="DV146" s="84"/>
      <c r="DW146" s="157"/>
      <c r="EB146" s="84"/>
      <c r="EG146" s="84"/>
      <c r="EK146" s="84"/>
      <c r="EO146" s="84"/>
      <c r="ES146" s="84"/>
      <c r="EW146" s="84"/>
    </row>
    <row r="147" customFormat="false" ht="12.75" hidden="false" customHeight="false" outlineLevel="0" collapsed="false">
      <c r="A147" s="37"/>
      <c r="E147" s="83"/>
      <c r="J147" s="84"/>
      <c r="N147" s="84"/>
      <c r="R147" s="84"/>
      <c r="V147" s="84"/>
      <c r="Z147" s="84"/>
      <c r="AD147" s="84"/>
      <c r="AH147" s="84"/>
      <c r="AL147" s="84"/>
      <c r="AP147" s="84"/>
      <c r="AT147" s="84"/>
      <c r="AX147" s="84"/>
      <c r="BB147" s="85"/>
      <c r="BC147" s="84"/>
      <c r="BD147" s="84"/>
      <c r="BF147" s="84"/>
      <c r="BL147" s="84"/>
      <c r="BP147" s="86"/>
      <c r="BV147" s="84"/>
      <c r="CA147" s="84"/>
      <c r="CF147" s="84"/>
      <c r="CK147" s="84"/>
      <c r="CP147" s="84"/>
      <c r="CS147" s="86"/>
      <c r="CT147" s="84"/>
      <c r="CW147" s="86"/>
      <c r="CX147" s="84"/>
      <c r="DA147" s="86"/>
      <c r="DB147" s="84"/>
      <c r="DE147" s="86"/>
      <c r="DF147" s="84"/>
      <c r="DI147" s="86"/>
      <c r="DJ147" s="84"/>
      <c r="DM147" s="86"/>
      <c r="DN147" s="84"/>
      <c r="DQ147" s="86"/>
      <c r="DR147" s="85"/>
      <c r="DS147" s="85"/>
      <c r="DT147" s="84"/>
      <c r="DV147" s="84"/>
      <c r="DW147" s="157"/>
      <c r="EB147" s="84"/>
      <c r="EG147" s="84"/>
      <c r="EK147" s="84"/>
      <c r="EO147" s="84"/>
      <c r="ES147" s="84"/>
      <c r="EW147" s="84"/>
    </row>
    <row r="148" customFormat="false" ht="12.75" hidden="false" customHeight="false" outlineLevel="0" collapsed="false">
      <c r="A148" s="37"/>
      <c r="E148" s="83"/>
      <c r="J148" s="84"/>
      <c r="N148" s="84"/>
      <c r="R148" s="84"/>
      <c r="V148" s="84"/>
      <c r="Z148" s="84"/>
      <c r="AD148" s="84"/>
      <c r="AH148" s="84"/>
      <c r="AL148" s="84"/>
      <c r="AP148" s="84"/>
      <c r="AT148" s="84"/>
      <c r="AX148" s="84"/>
      <c r="BB148" s="85"/>
      <c r="BC148" s="84"/>
      <c r="BD148" s="84"/>
      <c r="BF148" s="84"/>
      <c r="BL148" s="84"/>
      <c r="BP148" s="86"/>
      <c r="BV148" s="84"/>
      <c r="CA148" s="84"/>
      <c r="CF148" s="84"/>
      <c r="CK148" s="84"/>
      <c r="CP148" s="84"/>
      <c r="CS148" s="86"/>
      <c r="CT148" s="84"/>
      <c r="CW148" s="86"/>
      <c r="CX148" s="84"/>
      <c r="DA148" s="86"/>
      <c r="DB148" s="84"/>
      <c r="DE148" s="86"/>
      <c r="DF148" s="84"/>
      <c r="DI148" s="86"/>
      <c r="DJ148" s="84"/>
      <c r="DM148" s="86"/>
      <c r="DN148" s="84"/>
      <c r="DQ148" s="86"/>
      <c r="DR148" s="85"/>
      <c r="DS148" s="85"/>
      <c r="DT148" s="84"/>
      <c r="DV148" s="84"/>
      <c r="DW148" s="157"/>
      <c r="EB148" s="84"/>
      <c r="EG148" s="84"/>
      <c r="EK148" s="84"/>
      <c r="EO148" s="84"/>
      <c r="ES148" s="84"/>
      <c r="EW148" s="84"/>
    </row>
    <row r="149" customFormat="false" ht="12.75" hidden="false" customHeight="false" outlineLevel="0" collapsed="false">
      <c r="A149" s="37"/>
      <c r="E149" s="83"/>
      <c r="J149" s="84"/>
      <c r="N149" s="84"/>
      <c r="R149" s="84"/>
      <c r="V149" s="84"/>
      <c r="Z149" s="84"/>
      <c r="AD149" s="84"/>
      <c r="AH149" s="84"/>
      <c r="AL149" s="84"/>
      <c r="AP149" s="84"/>
      <c r="AT149" s="84"/>
      <c r="AX149" s="84"/>
      <c r="BB149" s="85"/>
      <c r="BC149" s="84"/>
      <c r="BD149" s="84"/>
      <c r="BF149" s="84"/>
      <c r="BL149" s="84"/>
      <c r="BP149" s="86"/>
      <c r="BV149" s="84"/>
      <c r="CA149" s="84"/>
      <c r="CF149" s="84"/>
      <c r="CK149" s="84"/>
      <c r="CP149" s="84"/>
      <c r="CS149" s="86"/>
      <c r="CT149" s="84"/>
      <c r="CW149" s="86"/>
      <c r="CX149" s="84"/>
      <c r="DA149" s="86"/>
      <c r="DB149" s="84"/>
      <c r="DE149" s="86"/>
      <c r="DF149" s="84"/>
      <c r="DI149" s="86"/>
      <c r="DJ149" s="84"/>
      <c r="DM149" s="86"/>
      <c r="DN149" s="84"/>
      <c r="DQ149" s="86"/>
      <c r="DR149" s="85"/>
      <c r="DS149" s="85"/>
      <c r="DT149" s="84"/>
      <c r="DV149" s="84"/>
      <c r="DW149" s="157"/>
      <c r="EB149" s="84"/>
      <c r="EG149" s="84"/>
      <c r="EK149" s="84"/>
      <c r="EO149" s="84"/>
      <c r="ES149" s="84"/>
      <c r="EW149" s="84"/>
    </row>
    <row r="150" customFormat="false" ht="12.75" hidden="false" customHeight="false" outlineLevel="0" collapsed="false">
      <c r="A150" s="37"/>
      <c r="E150" s="83"/>
      <c r="J150" s="84"/>
      <c r="N150" s="84"/>
      <c r="R150" s="84"/>
      <c r="V150" s="84"/>
      <c r="Z150" s="84"/>
      <c r="AD150" s="84"/>
      <c r="AH150" s="84"/>
      <c r="AL150" s="84"/>
      <c r="AP150" s="84"/>
      <c r="AT150" s="84"/>
      <c r="AX150" s="84"/>
      <c r="BB150" s="85"/>
      <c r="BC150" s="84"/>
      <c r="BD150" s="84"/>
      <c r="BF150" s="84"/>
      <c r="BL150" s="84"/>
      <c r="BP150" s="86"/>
      <c r="BV150" s="84"/>
      <c r="CA150" s="84"/>
      <c r="CF150" s="84"/>
      <c r="CK150" s="84"/>
      <c r="CP150" s="84"/>
      <c r="CS150" s="86"/>
      <c r="CT150" s="84"/>
      <c r="CW150" s="86"/>
      <c r="CX150" s="84"/>
      <c r="DA150" s="86"/>
      <c r="DB150" s="84"/>
      <c r="DE150" s="86"/>
      <c r="DF150" s="84"/>
      <c r="DI150" s="86"/>
      <c r="DJ150" s="84"/>
      <c r="DM150" s="86"/>
      <c r="DN150" s="84"/>
      <c r="DQ150" s="86"/>
      <c r="DR150" s="85"/>
      <c r="DS150" s="85"/>
      <c r="DT150" s="84"/>
      <c r="DV150" s="84"/>
      <c r="DW150" s="157"/>
      <c r="EB150" s="84"/>
      <c r="EG150" s="84"/>
      <c r="EK150" s="84"/>
      <c r="EO150" s="84"/>
      <c r="ES150" s="84"/>
      <c r="EW150" s="84"/>
    </row>
    <row r="151" customFormat="false" ht="12.75" hidden="false" customHeight="false" outlineLevel="0" collapsed="false">
      <c r="A151" s="37"/>
      <c r="E151" s="83"/>
      <c r="J151" s="84"/>
      <c r="N151" s="84"/>
      <c r="R151" s="84"/>
      <c r="V151" s="84"/>
      <c r="Z151" s="84"/>
      <c r="AD151" s="84"/>
      <c r="AH151" s="84"/>
      <c r="AL151" s="84"/>
      <c r="AP151" s="84"/>
      <c r="AT151" s="84"/>
      <c r="AX151" s="84"/>
      <c r="BB151" s="85"/>
      <c r="BC151" s="84"/>
      <c r="BD151" s="84"/>
      <c r="BF151" s="84"/>
      <c r="BL151" s="84"/>
      <c r="BP151" s="86"/>
      <c r="BV151" s="84"/>
      <c r="CA151" s="84"/>
      <c r="CF151" s="84"/>
      <c r="CK151" s="84"/>
      <c r="CP151" s="84"/>
      <c r="CS151" s="86"/>
      <c r="CT151" s="84"/>
      <c r="CW151" s="86"/>
      <c r="CX151" s="84"/>
      <c r="DA151" s="86"/>
      <c r="DB151" s="84"/>
      <c r="DE151" s="86"/>
      <c r="DF151" s="84"/>
      <c r="DI151" s="86"/>
      <c r="DJ151" s="84"/>
      <c r="DM151" s="86"/>
      <c r="DN151" s="84"/>
      <c r="DQ151" s="86"/>
      <c r="DR151" s="85"/>
      <c r="DS151" s="85"/>
      <c r="DT151" s="84"/>
      <c r="DV151" s="84"/>
      <c r="DW151" s="157"/>
      <c r="EB151" s="84"/>
      <c r="EG151" s="84"/>
      <c r="EK151" s="84"/>
      <c r="EO151" s="84"/>
      <c r="ES151" s="84"/>
      <c r="EW151" s="84"/>
    </row>
    <row r="152" customFormat="false" ht="12.75" hidden="false" customHeight="false" outlineLevel="0" collapsed="false">
      <c r="A152" s="37"/>
      <c r="E152" s="83"/>
      <c r="J152" s="84"/>
      <c r="N152" s="84"/>
      <c r="R152" s="84"/>
      <c r="V152" s="84"/>
      <c r="Z152" s="84"/>
      <c r="AD152" s="84"/>
      <c r="AH152" s="84"/>
      <c r="AL152" s="84"/>
      <c r="AP152" s="84"/>
      <c r="AT152" s="84"/>
      <c r="AX152" s="84"/>
      <c r="BB152" s="85"/>
      <c r="BC152" s="84"/>
      <c r="BD152" s="84"/>
      <c r="BF152" s="84"/>
      <c r="BL152" s="84"/>
      <c r="BP152" s="86"/>
      <c r="BV152" s="84"/>
      <c r="CA152" s="84"/>
      <c r="CF152" s="84"/>
      <c r="CK152" s="84"/>
      <c r="CP152" s="84"/>
      <c r="CS152" s="86"/>
      <c r="CT152" s="84"/>
      <c r="CW152" s="86"/>
      <c r="CX152" s="84"/>
      <c r="DA152" s="86"/>
      <c r="DB152" s="84"/>
      <c r="DE152" s="86"/>
      <c r="DF152" s="84"/>
      <c r="DI152" s="86"/>
      <c r="DJ152" s="84"/>
      <c r="DM152" s="86"/>
      <c r="DN152" s="84"/>
      <c r="DQ152" s="86"/>
      <c r="DR152" s="85"/>
      <c r="DS152" s="85"/>
      <c r="DT152" s="84"/>
      <c r="DV152" s="84"/>
      <c r="DW152" s="157"/>
      <c r="EB152" s="84"/>
      <c r="EG152" s="84"/>
      <c r="EK152" s="84"/>
      <c r="EO152" s="84"/>
      <c r="ES152" s="84"/>
      <c r="EW152" s="84"/>
    </row>
    <row r="153" customFormat="false" ht="12.75" hidden="false" customHeight="false" outlineLevel="0" collapsed="false">
      <c r="A153" s="37"/>
      <c r="E153" s="83"/>
      <c r="J153" s="84"/>
      <c r="N153" s="84"/>
      <c r="R153" s="84"/>
      <c r="V153" s="84"/>
      <c r="Z153" s="84"/>
      <c r="AD153" s="84"/>
      <c r="AH153" s="84"/>
      <c r="AL153" s="84"/>
      <c r="AP153" s="84"/>
      <c r="AT153" s="84"/>
      <c r="AX153" s="84"/>
      <c r="BB153" s="85"/>
      <c r="BC153" s="84"/>
      <c r="BD153" s="84"/>
      <c r="BF153" s="84"/>
      <c r="BL153" s="84"/>
      <c r="BP153" s="86"/>
      <c r="BV153" s="84"/>
      <c r="CA153" s="84"/>
      <c r="CF153" s="84"/>
      <c r="CK153" s="84"/>
      <c r="CP153" s="84"/>
      <c r="CS153" s="86"/>
      <c r="CT153" s="84"/>
      <c r="CW153" s="86"/>
      <c r="CX153" s="84"/>
      <c r="DA153" s="86"/>
      <c r="DB153" s="84"/>
      <c r="DE153" s="86"/>
      <c r="DF153" s="84"/>
      <c r="DI153" s="86"/>
      <c r="DJ153" s="84"/>
      <c r="DM153" s="86"/>
      <c r="DN153" s="84"/>
      <c r="DQ153" s="86"/>
      <c r="DR153" s="85"/>
      <c r="DS153" s="85"/>
      <c r="DT153" s="84"/>
      <c r="DV153" s="84"/>
      <c r="DW153" s="157"/>
      <c r="EB153" s="84"/>
      <c r="EG153" s="84"/>
      <c r="EK153" s="84"/>
      <c r="EO153" s="84"/>
      <c r="ES153" s="84"/>
      <c r="EW153" s="84"/>
    </row>
    <row r="154" customFormat="false" ht="12.75" hidden="false" customHeight="false" outlineLevel="0" collapsed="false">
      <c r="A154" s="37"/>
      <c r="E154" s="83"/>
      <c r="J154" s="84"/>
      <c r="N154" s="84"/>
      <c r="R154" s="84"/>
      <c r="V154" s="84"/>
      <c r="Z154" s="84"/>
      <c r="AD154" s="84"/>
      <c r="AH154" s="84"/>
      <c r="AL154" s="84"/>
      <c r="AP154" s="84"/>
      <c r="AT154" s="84"/>
      <c r="AX154" s="84"/>
      <c r="BB154" s="85"/>
      <c r="BC154" s="84"/>
      <c r="BD154" s="84"/>
      <c r="BF154" s="84"/>
      <c r="BL154" s="84"/>
      <c r="BP154" s="86"/>
      <c r="BV154" s="84"/>
      <c r="CA154" s="84"/>
      <c r="CF154" s="84"/>
      <c r="CK154" s="84"/>
      <c r="CP154" s="84"/>
      <c r="CS154" s="86"/>
      <c r="CT154" s="84"/>
      <c r="CW154" s="86"/>
      <c r="CX154" s="84"/>
      <c r="DA154" s="86"/>
      <c r="DB154" s="84"/>
      <c r="DE154" s="86"/>
      <c r="DF154" s="84"/>
      <c r="DI154" s="86"/>
      <c r="DJ154" s="84"/>
      <c r="DM154" s="86"/>
      <c r="DN154" s="84"/>
      <c r="DQ154" s="86"/>
      <c r="DR154" s="85"/>
      <c r="DS154" s="85"/>
      <c r="DT154" s="84"/>
      <c r="DV154" s="84"/>
      <c r="DW154" s="157"/>
      <c r="EB154" s="84"/>
      <c r="EG154" s="84"/>
      <c r="EK154" s="84"/>
      <c r="EO154" s="84"/>
      <c r="ES154" s="84"/>
      <c r="EW154" s="84"/>
    </row>
    <row r="155" customFormat="false" ht="12.75" hidden="false" customHeight="false" outlineLevel="0" collapsed="false">
      <c r="A155" s="37"/>
      <c r="E155" s="83"/>
      <c r="J155" s="84"/>
      <c r="N155" s="84"/>
      <c r="R155" s="84"/>
      <c r="V155" s="84"/>
      <c r="Z155" s="84"/>
      <c r="AD155" s="84"/>
      <c r="AH155" s="84"/>
      <c r="AL155" s="84"/>
      <c r="AP155" s="84"/>
      <c r="AT155" s="84"/>
      <c r="AX155" s="84"/>
      <c r="BB155" s="85"/>
      <c r="BC155" s="84"/>
      <c r="BD155" s="84"/>
      <c r="BF155" s="84"/>
      <c r="BL155" s="84"/>
      <c r="BP155" s="86"/>
      <c r="BV155" s="84"/>
      <c r="CA155" s="84"/>
      <c r="CF155" s="84"/>
      <c r="CK155" s="84"/>
      <c r="CP155" s="84"/>
      <c r="CS155" s="86"/>
      <c r="CT155" s="84"/>
      <c r="CW155" s="86"/>
      <c r="CX155" s="84"/>
      <c r="DA155" s="86"/>
      <c r="DB155" s="84"/>
      <c r="DE155" s="86"/>
      <c r="DF155" s="84"/>
      <c r="DI155" s="86"/>
      <c r="DJ155" s="84"/>
      <c r="DM155" s="86"/>
      <c r="DN155" s="84"/>
      <c r="DQ155" s="86"/>
      <c r="DR155" s="85"/>
      <c r="DS155" s="85"/>
      <c r="DT155" s="84"/>
      <c r="DV155" s="84"/>
      <c r="DW155" s="157"/>
      <c r="EB155" s="84"/>
      <c r="EG155" s="84"/>
      <c r="EK155" s="84"/>
      <c r="EO155" s="84"/>
      <c r="ES155" s="84"/>
      <c r="EW155" s="84"/>
    </row>
    <row r="156" customFormat="false" ht="12.75" hidden="false" customHeight="false" outlineLevel="0" collapsed="false">
      <c r="A156" s="37"/>
      <c r="E156" s="83"/>
      <c r="J156" s="84"/>
      <c r="N156" s="84"/>
      <c r="R156" s="84"/>
      <c r="V156" s="84"/>
      <c r="Z156" s="84"/>
      <c r="AD156" s="84"/>
      <c r="AH156" s="84"/>
      <c r="AL156" s="84"/>
      <c r="AP156" s="84"/>
      <c r="AT156" s="84"/>
      <c r="AX156" s="84"/>
      <c r="BB156" s="85"/>
      <c r="BC156" s="84"/>
      <c r="BD156" s="84"/>
      <c r="BF156" s="84"/>
      <c r="BL156" s="84"/>
      <c r="BP156" s="86"/>
      <c r="BV156" s="84"/>
      <c r="CA156" s="84"/>
      <c r="CF156" s="84"/>
      <c r="CK156" s="84"/>
      <c r="CP156" s="84"/>
      <c r="CS156" s="86"/>
      <c r="CT156" s="84"/>
      <c r="CW156" s="86"/>
      <c r="CX156" s="84"/>
      <c r="DA156" s="86"/>
      <c r="DB156" s="84"/>
      <c r="DE156" s="86"/>
      <c r="DF156" s="84"/>
      <c r="DI156" s="86"/>
      <c r="DJ156" s="84"/>
      <c r="DM156" s="86"/>
      <c r="DN156" s="84"/>
      <c r="DQ156" s="86"/>
      <c r="DR156" s="85"/>
      <c r="DS156" s="85"/>
      <c r="DT156" s="84"/>
      <c r="DV156" s="84"/>
      <c r="DW156" s="157"/>
      <c r="EB156" s="84"/>
      <c r="EG156" s="84"/>
      <c r="EK156" s="84"/>
      <c r="EO156" s="84"/>
      <c r="ES156" s="84"/>
      <c r="EW156" s="84"/>
    </row>
    <row r="157" customFormat="false" ht="12.75" hidden="false" customHeight="false" outlineLevel="0" collapsed="false">
      <c r="A157" s="37"/>
      <c r="E157" s="83"/>
      <c r="J157" s="84"/>
      <c r="N157" s="84"/>
      <c r="R157" s="84"/>
      <c r="V157" s="84"/>
      <c r="Z157" s="84"/>
      <c r="AD157" s="84"/>
      <c r="AH157" s="84"/>
      <c r="AL157" s="84"/>
      <c r="AP157" s="84"/>
      <c r="AT157" s="84"/>
      <c r="AX157" s="84"/>
      <c r="BB157" s="85"/>
      <c r="BC157" s="84"/>
      <c r="BD157" s="84"/>
      <c r="BF157" s="84"/>
      <c r="BL157" s="84"/>
      <c r="BP157" s="86"/>
      <c r="BV157" s="84"/>
      <c r="CA157" s="84"/>
      <c r="CF157" s="84"/>
      <c r="CK157" s="84"/>
      <c r="CP157" s="84"/>
      <c r="CS157" s="86"/>
      <c r="CT157" s="84"/>
      <c r="CW157" s="86"/>
      <c r="CX157" s="84"/>
      <c r="DA157" s="86"/>
      <c r="DB157" s="84"/>
      <c r="DE157" s="86"/>
      <c r="DF157" s="84"/>
      <c r="DI157" s="86"/>
      <c r="DJ157" s="84"/>
      <c r="DM157" s="86"/>
      <c r="DN157" s="84"/>
      <c r="DQ157" s="86"/>
      <c r="DR157" s="85"/>
      <c r="DS157" s="85"/>
      <c r="DT157" s="84"/>
      <c r="DV157" s="84"/>
      <c r="DW157" s="157"/>
      <c r="EB157" s="84"/>
      <c r="EG157" s="84"/>
      <c r="EK157" s="84"/>
      <c r="EO157" s="84"/>
      <c r="ES157" s="84"/>
      <c r="EW157" s="84"/>
    </row>
    <row r="158" customFormat="false" ht="12.75" hidden="false" customHeight="false" outlineLevel="0" collapsed="false">
      <c r="A158" s="37"/>
      <c r="E158" s="83"/>
      <c r="J158" s="84"/>
      <c r="N158" s="84"/>
      <c r="R158" s="84"/>
      <c r="V158" s="84"/>
      <c r="Z158" s="84"/>
      <c r="AD158" s="84"/>
      <c r="AH158" s="84"/>
      <c r="AL158" s="84"/>
      <c r="AP158" s="84"/>
      <c r="AT158" s="84"/>
      <c r="AX158" s="84"/>
      <c r="BB158" s="85"/>
      <c r="BC158" s="84"/>
      <c r="BD158" s="84"/>
      <c r="BF158" s="84"/>
      <c r="BL158" s="84"/>
      <c r="BP158" s="86"/>
      <c r="BV158" s="84"/>
      <c r="CA158" s="84"/>
      <c r="CF158" s="84"/>
      <c r="CK158" s="84"/>
      <c r="CP158" s="84"/>
      <c r="CS158" s="86"/>
      <c r="CT158" s="84"/>
      <c r="CW158" s="86"/>
      <c r="CX158" s="84"/>
      <c r="DA158" s="86"/>
      <c r="DB158" s="84"/>
      <c r="DE158" s="86"/>
      <c r="DF158" s="84"/>
      <c r="DI158" s="86"/>
      <c r="DJ158" s="84"/>
      <c r="DM158" s="86"/>
      <c r="DN158" s="84"/>
      <c r="DQ158" s="86"/>
      <c r="DR158" s="85"/>
      <c r="DS158" s="85"/>
      <c r="DT158" s="84"/>
      <c r="DV158" s="84"/>
      <c r="DW158" s="157"/>
      <c r="EB158" s="84"/>
      <c r="EG158" s="84"/>
      <c r="EK158" s="84"/>
      <c r="EO158" s="84"/>
      <c r="ES158" s="84"/>
      <c r="EW158" s="84"/>
    </row>
    <row r="159" customFormat="false" ht="12.75" hidden="false" customHeight="false" outlineLevel="0" collapsed="false">
      <c r="A159" s="37"/>
      <c r="E159" s="83"/>
      <c r="J159" s="84"/>
      <c r="N159" s="84"/>
      <c r="R159" s="84"/>
      <c r="V159" s="84"/>
      <c r="Z159" s="84"/>
      <c r="AD159" s="84"/>
      <c r="AH159" s="84"/>
      <c r="AL159" s="84"/>
      <c r="AP159" s="84"/>
      <c r="AT159" s="84"/>
      <c r="AX159" s="84"/>
      <c r="BB159" s="85"/>
      <c r="BC159" s="84"/>
      <c r="BD159" s="84"/>
      <c r="BF159" s="84"/>
      <c r="BL159" s="84"/>
      <c r="BP159" s="86"/>
      <c r="BV159" s="84"/>
      <c r="CA159" s="84"/>
      <c r="CF159" s="84"/>
      <c r="CK159" s="84"/>
      <c r="CP159" s="84"/>
      <c r="CS159" s="86"/>
      <c r="CT159" s="84"/>
      <c r="CW159" s="86"/>
      <c r="CX159" s="84"/>
      <c r="DA159" s="86"/>
      <c r="DB159" s="84"/>
      <c r="DE159" s="86"/>
      <c r="DF159" s="84"/>
      <c r="DI159" s="86"/>
      <c r="DJ159" s="84"/>
      <c r="DM159" s="86"/>
      <c r="DN159" s="84"/>
      <c r="DQ159" s="86"/>
      <c r="DR159" s="85"/>
      <c r="DS159" s="85"/>
      <c r="DT159" s="84"/>
      <c r="DV159" s="84"/>
      <c r="DW159" s="157"/>
      <c r="EB159" s="84"/>
      <c r="EG159" s="84"/>
      <c r="EK159" s="84"/>
      <c r="EO159" s="84"/>
      <c r="ES159" s="84"/>
      <c r="EW159" s="84"/>
    </row>
    <row r="160" customFormat="false" ht="12.75" hidden="false" customHeight="false" outlineLevel="0" collapsed="false">
      <c r="A160" s="37"/>
      <c r="E160" s="83"/>
      <c r="J160" s="84"/>
      <c r="N160" s="84"/>
      <c r="R160" s="84"/>
      <c r="V160" s="84"/>
      <c r="Z160" s="84"/>
      <c r="AD160" s="84"/>
      <c r="AH160" s="84"/>
      <c r="AL160" s="84"/>
      <c r="AP160" s="84"/>
      <c r="AT160" s="84"/>
      <c r="AX160" s="84"/>
      <c r="BB160" s="85"/>
      <c r="BC160" s="84"/>
      <c r="BD160" s="84"/>
      <c r="BF160" s="84"/>
      <c r="BL160" s="84"/>
      <c r="BP160" s="86"/>
      <c r="BV160" s="84"/>
      <c r="CA160" s="84"/>
      <c r="CF160" s="84"/>
      <c r="CK160" s="84"/>
      <c r="CP160" s="84"/>
      <c r="CS160" s="86"/>
      <c r="CT160" s="84"/>
      <c r="CW160" s="86"/>
      <c r="CX160" s="84"/>
      <c r="DA160" s="86"/>
      <c r="DB160" s="84"/>
      <c r="DE160" s="86"/>
      <c r="DF160" s="84"/>
      <c r="DI160" s="86"/>
      <c r="DJ160" s="84"/>
      <c r="DM160" s="86"/>
      <c r="DN160" s="84"/>
      <c r="DQ160" s="86"/>
      <c r="DR160" s="85"/>
      <c r="DS160" s="85"/>
      <c r="DT160" s="84"/>
      <c r="DV160" s="84"/>
      <c r="DW160" s="157"/>
      <c r="EB160" s="84"/>
      <c r="EG160" s="84"/>
      <c r="EK160" s="84"/>
      <c r="EO160" s="84"/>
      <c r="ES160" s="84"/>
      <c r="EW160" s="84"/>
    </row>
    <row r="161" customFormat="false" ht="12.75" hidden="false" customHeight="false" outlineLevel="0" collapsed="false">
      <c r="A161" s="37"/>
      <c r="E161" s="83"/>
      <c r="J161" s="84"/>
      <c r="N161" s="84"/>
      <c r="R161" s="84"/>
      <c r="V161" s="84"/>
      <c r="Z161" s="84"/>
      <c r="AD161" s="84"/>
      <c r="AH161" s="84"/>
      <c r="AL161" s="84"/>
      <c r="AP161" s="84"/>
      <c r="AT161" s="84"/>
      <c r="AX161" s="84"/>
      <c r="BB161" s="85"/>
      <c r="BC161" s="84"/>
      <c r="BD161" s="84"/>
      <c r="BF161" s="84"/>
      <c r="BL161" s="84"/>
      <c r="BP161" s="86"/>
      <c r="BV161" s="84"/>
      <c r="CA161" s="84"/>
      <c r="CF161" s="84"/>
      <c r="CK161" s="84"/>
      <c r="CP161" s="84"/>
      <c r="CS161" s="86"/>
      <c r="CT161" s="84"/>
      <c r="CW161" s="86"/>
      <c r="CX161" s="84"/>
      <c r="DA161" s="86"/>
      <c r="DB161" s="84"/>
      <c r="DE161" s="86"/>
      <c r="DF161" s="84"/>
      <c r="DI161" s="86"/>
      <c r="DJ161" s="84"/>
      <c r="DM161" s="86"/>
      <c r="DN161" s="84"/>
      <c r="DQ161" s="86"/>
      <c r="DR161" s="85"/>
      <c r="DS161" s="85"/>
      <c r="DT161" s="84"/>
      <c r="DV161" s="84"/>
      <c r="DW161" s="157"/>
      <c r="EB161" s="84"/>
      <c r="EG161" s="84"/>
      <c r="EK161" s="84"/>
      <c r="EO161" s="84"/>
      <c r="ES161" s="84"/>
      <c r="EW161" s="84"/>
    </row>
    <row r="162" customFormat="false" ht="12.75" hidden="false" customHeight="false" outlineLevel="0" collapsed="false">
      <c r="A162" s="37"/>
      <c r="E162" s="83"/>
      <c r="J162" s="84"/>
      <c r="N162" s="84"/>
      <c r="R162" s="84"/>
      <c r="V162" s="84"/>
      <c r="Z162" s="84"/>
      <c r="AD162" s="84"/>
      <c r="AH162" s="84"/>
      <c r="AL162" s="84"/>
      <c r="AP162" s="84"/>
      <c r="AT162" s="84"/>
      <c r="AX162" s="84"/>
      <c r="BB162" s="85"/>
      <c r="BC162" s="84"/>
      <c r="BD162" s="84"/>
      <c r="BF162" s="84"/>
      <c r="BL162" s="84"/>
      <c r="BP162" s="86"/>
      <c r="BV162" s="84"/>
      <c r="CA162" s="84"/>
      <c r="CF162" s="84"/>
      <c r="CK162" s="84"/>
      <c r="CP162" s="84"/>
      <c r="CS162" s="86"/>
      <c r="CT162" s="84"/>
      <c r="CW162" s="86"/>
      <c r="CX162" s="84"/>
      <c r="DA162" s="86"/>
      <c r="DB162" s="84"/>
      <c r="DE162" s="86"/>
      <c r="DF162" s="84"/>
      <c r="DI162" s="86"/>
      <c r="DJ162" s="84"/>
      <c r="DM162" s="86"/>
      <c r="DN162" s="84"/>
      <c r="DQ162" s="86"/>
      <c r="DR162" s="85"/>
      <c r="DS162" s="85"/>
      <c r="DT162" s="84"/>
      <c r="DV162" s="84"/>
      <c r="DW162" s="157"/>
      <c r="EB162" s="84"/>
      <c r="EG162" s="84"/>
      <c r="EK162" s="84"/>
      <c r="EO162" s="84"/>
      <c r="ES162" s="84"/>
      <c r="EW162" s="84"/>
    </row>
    <row r="163" customFormat="false" ht="12.75" hidden="false" customHeight="false" outlineLevel="0" collapsed="false">
      <c r="A163" s="37"/>
      <c r="E163" s="83"/>
      <c r="J163" s="84"/>
      <c r="N163" s="84"/>
      <c r="R163" s="84"/>
      <c r="V163" s="84"/>
      <c r="Z163" s="84"/>
      <c r="AD163" s="84"/>
      <c r="AH163" s="84"/>
      <c r="AL163" s="84"/>
      <c r="AP163" s="84"/>
      <c r="AT163" s="84"/>
      <c r="AX163" s="84"/>
      <c r="BB163" s="85"/>
      <c r="BC163" s="84"/>
      <c r="BD163" s="84"/>
      <c r="BF163" s="84"/>
      <c r="BL163" s="84"/>
      <c r="BP163" s="86"/>
      <c r="BV163" s="84"/>
      <c r="CA163" s="84"/>
      <c r="CF163" s="84"/>
      <c r="CK163" s="84"/>
      <c r="CP163" s="84"/>
      <c r="CS163" s="86"/>
      <c r="CT163" s="84"/>
      <c r="CW163" s="86"/>
      <c r="CX163" s="84"/>
      <c r="DA163" s="86"/>
      <c r="DB163" s="84"/>
      <c r="DE163" s="86"/>
      <c r="DF163" s="84"/>
      <c r="DI163" s="86"/>
      <c r="DJ163" s="84"/>
      <c r="DM163" s="86"/>
      <c r="DN163" s="84"/>
      <c r="DQ163" s="86"/>
      <c r="DR163" s="85"/>
      <c r="DS163" s="85"/>
      <c r="DT163" s="84"/>
      <c r="DV163" s="84"/>
      <c r="DW163" s="157"/>
      <c r="EB163" s="84"/>
      <c r="EG163" s="84"/>
      <c r="EK163" s="84"/>
      <c r="EO163" s="84"/>
      <c r="ES163" s="84"/>
      <c r="EW163" s="84"/>
    </row>
    <row r="164" customFormat="false" ht="12.75" hidden="false" customHeight="false" outlineLevel="0" collapsed="false">
      <c r="A164" s="37"/>
      <c r="E164" s="83"/>
      <c r="J164" s="84"/>
      <c r="N164" s="84"/>
      <c r="R164" s="84"/>
      <c r="V164" s="84"/>
      <c r="Z164" s="84"/>
      <c r="AD164" s="84"/>
      <c r="AH164" s="84"/>
      <c r="AL164" s="84"/>
      <c r="AP164" s="84"/>
      <c r="AT164" s="84"/>
      <c r="AX164" s="84"/>
      <c r="BB164" s="85"/>
      <c r="BC164" s="84"/>
      <c r="BD164" s="84"/>
      <c r="BF164" s="84"/>
      <c r="BL164" s="84"/>
      <c r="BP164" s="86"/>
      <c r="BV164" s="84"/>
      <c r="CA164" s="84"/>
      <c r="CF164" s="84"/>
      <c r="CK164" s="84"/>
      <c r="CP164" s="84"/>
      <c r="CS164" s="86"/>
      <c r="CT164" s="84"/>
      <c r="CW164" s="86"/>
      <c r="CX164" s="84"/>
      <c r="DA164" s="86"/>
      <c r="DB164" s="84"/>
      <c r="DE164" s="86"/>
      <c r="DF164" s="84"/>
      <c r="DI164" s="86"/>
      <c r="DJ164" s="84"/>
      <c r="DM164" s="86"/>
      <c r="DN164" s="84"/>
      <c r="DQ164" s="86"/>
      <c r="DR164" s="85"/>
      <c r="DS164" s="85"/>
      <c r="DT164" s="84"/>
      <c r="DV164" s="84"/>
      <c r="DW164" s="157"/>
      <c r="EB164" s="84"/>
      <c r="EG164" s="84"/>
      <c r="EK164" s="84"/>
      <c r="EO164" s="84"/>
      <c r="ES164" s="84"/>
      <c r="EW164" s="84"/>
    </row>
    <row r="165" customFormat="false" ht="12.75" hidden="false" customHeight="false" outlineLevel="0" collapsed="false">
      <c r="A165" s="37"/>
      <c r="E165" s="83"/>
      <c r="J165" s="84"/>
      <c r="N165" s="84"/>
      <c r="R165" s="84"/>
      <c r="V165" s="84"/>
      <c r="Z165" s="84"/>
      <c r="AD165" s="84"/>
      <c r="AH165" s="84"/>
      <c r="AL165" s="84"/>
      <c r="AP165" s="84"/>
      <c r="AT165" s="84"/>
      <c r="AX165" s="84"/>
      <c r="BB165" s="85"/>
      <c r="BC165" s="84"/>
      <c r="BD165" s="84"/>
      <c r="BF165" s="84"/>
      <c r="BL165" s="84"/>
      <c r="BP165" s="86"/>
      <c r="BV165" s="84"/>
      <c r="CA165" s="84"/>
      <c r="CF165" s="84"/>
      <c r="CK165" s="84"/>
      <c r="CP165" s="84"/>
      <c r="CS165" s="86"/>
      <c r="CT165" s="84"/>
      <c r="CW165" s="86"/>
      <c r="CX165" s="84"/>
      <c r="DA165" s="86"/>
      <c r="DB165" s="84"/>
      <c r="DE165" s="86"/>
      <c r="DF165" s="84"/>
      <c r="DI165" s="86"/>
      <c r="DJ165" s="84"/>
      <c r="DM165" s="86"/>
      <c r="DN165" s="84"/>
      <c r="DQ165" s="86"/>
      <c r="DR165" s="85"/>
      <c r="DS165" s="85"/>
      <c r="DT165" s="84"/>
      <c r="DV165" s="84"/>
      <c r="DW165" s="157"/>
      <c r="EB165" s="84"/>
      <c r="EG165" s="84"/>
      <c r="EK165" s="84"/>
      <c r="EO165" s="84"/>
      <c r="ES165" s="84"/>
      <c r="EW165" s="84"/>
    </row>
    <row r="166" customFormat="false" ht="12.75" hidden="false" customHeight="false" outlineLevel="0" collapsed="false">
      <c r="A166" s="37"/>
      <c r="E166" s="83"/>
      <c r="J166" s="84"/>
      <c r="N166" s="84"/>
      <c r="R166" s="84"/>
      <c r="V166" s="84"/>
      <c r="Z166" s="84"/>
      <c r="AD166" s="84"/>
      <c r="AH166" s="84"/>
      <c r="AL166" s="84"/>
      <c r="AP166" s="84"/>
      <c r="AT166" s="84"/>
      <c r="AX166" s="84"/>
      <c r="BB166" s="85"/>
      <c r="BC166" s="84"/>
      <c r="BD166" s="84"/>
      <c r="BF166" s="84"/>
      <c r="BL166" s="84"/>
      <c r="BP166" s="86"/>
      <c r="BV166" s="84"/>
      <c r="CA166" s="84"/>
      <c r="CF166" s="84"/>
      <c r="CK166" s="84"/>
      <c r="CP166" s="84"/>
      <c r="CS166" s="86"/>
      <c r="CT166" s="84"/>
      <c r="CW166" s="86"/>
      <c r="CX166" s="84"/>
      <c r="DA166" s="86"/>
      <c r="DB166" s="84"/>
      <c r="DE166" s="86"/>
      <c r="DF166" s="84"/>
      <c r="DI166" s="86"/>
      <c r="DJ166" s="84"/>
      <c r="DM166" s="86"/>
      <c r="DN166" s="84"/>
      <c r="DQ166" s="86"/>
      <c r="DR166" s="85"/>
      <c r="DS166" s="85"/>
      <c r="DT166" s="84"/>
      <c r="DV166" s="84"/>
      <c r="DW166" s="157"/>
      <c r="EB166" s="84"/>
      <c r="EG166" s="84"/>
      <c r="EK166" s="84"/>
      <c r="EO166" s="84"/>
      <c r="ES166" s="84"/>
      <c r="EW166" s="84"/>
    </row>
    <row r="167" customFormat="false" ht="12.75" hidden="false" customHeight="false" outlineLevel="0" collapsed="false">
      <c r="A167" s="37"/>
      <c r="E167" s="83"/>
      <c r="J167" s="84"/>
      <c r="N167" s="84"/>
      <c r="R167" s="84"/>
      <c r="V167" s="84"/>
      <c r="Z167" s="84"/>
      <c r="AD167" s="84"/>
      <c r="AH167" s="84"/>
      <c r="AL167" s="84"/>
      <c r="AP167" s="84"/>
      <c r="AT167" s="84"/>
      <c r="AX167" s="84"/>
      <c r="BB167" s="85"/>
      <c r="BC167" s="84"/>
      <c r="BD167" s="84"/>
      <c r="BF167" s="84"/>
      <c r="BL167" s="84"/>
      <c r="BP167" s="86"/>
      <c r="BV167" s="84"/>
      <c r="CA167" s="84"/>
      <c r="CF167" s="84"/>
      <c r="CK167" s="84"/>
      <c r="CP167" s="84"/>
      <c r="CS167" s="86"/>
      <c r="CT167" s="84"/>
      <c r="CW167" s="86"/>
      <c r="CX167" s="84"/>
      <c r="DA167" s="86"/>
      <c r="DB167" s="84"/>
      <c r="DE167" s="86"/>
      <c r="DF167" s="84"/>
      <c r="DI167" s="86"/>
      <c r="DJ167" s="84"/>
      <c r="DM167" s="86"/>
      <c r="DN167" s="84"/>
      <c r="DQ167" s="86"/>
      <c r="DR167" s="85"/>
      <c r="DS167" s="85"/>
      <c r="DT167" s="84"/>
      <c r="DV167" s="84"/>
      <c r="DW167" s="157"/>
      <c r="EB167" s="84"/>
      <c r="EG167" s="84"/>
      <c r="EK167" s="84"/>
      <c r="EO167" s="84"/>
      <c r="ES167" s="84"/>
      <c r="EW167" s="84"/>
    </row>
    <row r="168" customFormat="false" ht="12.75" hidden="false" customHeight="false" outlineLevel="0" collapsed="false">
      <c r="A168" s="37"/>
      <c r="E168" s="83"/>
      <c r="J168" s="84"/>
      <c r="N168" s="84"/>
      <c r="R168" s="84"/>
      <c r="V168" s="84"/>
      <c r="Z168" s="84"/>
      <c r="AD168" s="84"/>
      <c r="AH168" s="84"/>
      <c r="AL168" s="84"/>
      <c r="AP168" s="84"/>
      <c r="AT168" s="84"/>
      <c r="AX168" s="84"/>
      <c r="BB168" s="85"/>
      <c r="BC168" s="84"/>
      <c r="BD168" s="84"/>
      <c r="BF168" s="84"/>
      <c r="BL168" s="84"/>
      <c r="BP168" s="86"/>
      <c r="BV168" s="84"/>
      <c r="CA168" s="84"/>
      <c r="CF168" s="84"/>
      <c r="CK168" s="84"/>
      <c r="CP168" s="84"/>
      <c r="CS168" s="86"/>
      <c r="CT168" s="84"/>
      <c r="CW168" s="86"/>
      <c r="CX168" s="84"/>
      <c r="DA168" s="86"/>
      <c r="DB168" s="84"/>
      <c r="DE168" s="86"/>
      <c r="DF168" s="84"/>
      <c r="DI168" s="86"/>
      <c r="DJ168" s="84"/>
      <c r="DM168" s="86"/>
      <c r="DN168" s="84"/>
      <c r="DQ168" s="86"/>
      <c r="DR168" s="85"/>
      <c r="DS168" s="85"/>
      <c r="DT168" s="84"/>
      <c r="DV168" s="84"/>
      <c r="DW168" s="157"/>
      <c r="EB168" s="84"/>
      <c r="EG168" s="84"/>
      <c r="EK168" s="84"/>
      <c r="EO168" s="84"/>
      <c r="ES168" s="84"/>
      <c r="EW168" s="84"/>
    </row>
    <row r="169" customFormat="false" ht="12.75" hidden="false" customHeight="false" outlineLevel="0" collapsed="false">
      <c r="A169" s="37"/>
      <c r="E169" s="83"/>
      <c r="J169" s="84"/>
      <c r="N169" s="84"/>
      <c r="R169" s="84"/>
      <c r="V169" s="84"/>
      <c r="Z169" s="84"/>
      <c r="AD169" s="84"/>
      <c r="AH169" s="84"/>
      <c r="AL169" s="84"/>
      <c r="AP169" s="84"/>
      <c r="AT169" s="84"/>
      <c r="AX169" s="84"/>
      <c r="BB169" s="85"/>
      <c r="BC169" s="84"/>
      <c r="BD169" s="84"/>
      <c r="BF169" s="84"/>
      <c r="BL169" s="84"/>
      <c r="BP169" s="86"/>
      <c r="BV169" s="84"/>
      <c r="CA169" s="84"/>
      <c r="CF169" s="84"/>
      <c r="CK169" s="84"/>
      <c r="CP169" s="84"/>
      <c r="CS169" s="86"/>
      <c r="CT169" s="84"/>
      <c r="CW169" s="86"/>
      <c r="CX169" s="84"/>
      <c r="DA169" s="86"/>
      <c r="DB169" s="84"/>
      <c r="DE169" s="86"/>
      <c r="DF169" s="84"/>
      <c r="DI169" s="86"/>
      <c r="DJ169" s="84"/>
      <c r="DM169" s="86"/>
      <c r="DN169" s="84"/>
      <c r="DQ169" s="86"/>
      <c r="DR169" s="85"/>
      <c r="DS169" s="85"/>
      <c r="DT169" s="84"/>
      <c r="DV169" s="84"/>
      <c r="DW169" s="157"/>
      <c r="EB169" s="84"/>
      <c r="EG169" s="84"/>
      <c r="EK169" s="84"/>
      <c r="EO169" s="84"/>
      <c r="ES169" s="84"/>
      <c r="EW169" s="84"/>
    </row>
    <row r="170" customFormat="false" ht="12.75" hidden="false" customHeight="false" outlineLevel="0" collapsed="false">
      <c r="A170" s="37"/>
      <c r="E170" s="83"/>
      <c r="J170" s="84"/>
      <c r="N170" s="84"/>
      <c r="R170" s="84"/>
      <c r="V170" s="84"/>
      <c r="Z170" s="84"/>
      <c r="AD170" s="84"/>
      <c r="AH170" s="84"/>
      <c r="AL170" s="84"/>
      <c r="AP170" s="84"/>
      <c r="AT170" s="84"/>
      <c r="AX170" s="84"/>
      <c r="BB170" s="85"/>
      <c r="BC170" s="84"/>
      <c r="BD170" s="84"/>
      <c r="BF170" s="84"/>
      <c r="BL170" s="84"/>
      <c r="BP170" s="86"/>
      <c r="BV170" s="84"/>
      <c r="CA170" s="84"/>
      <c r="CF170" s="84"/>
      <c r="CK170" s="84"/>
      <c r="CP170" s="84"/>
      <c r="CS170" s="86"/>
      <c r="CT170" s="84"/>
      <c r="CW170" s="86"/>
      <c r="CX170" s="84"/>
      <c r="DA170" s="86"/>
      <c r="DB170" s="84"/>
      <c r="DE170" s="86"/>
      <c r="DF170" s="84"/>
      <c r="DI170" s="86"/>
      <c r="DJ170" s="84"/>
      <c r="DM170" s="86"/>
      <c r="DN170" s="84"/>
      <c r="DQ170" s="86"/>
      <c r="DR170" s="85"/>
      <c r="DS170" s="85"/>
      <c r="DT170" s="84"/>
      <c r="DV170" s="84"/>
      <c r="DW170" s="157"/>
      <c r="EB170" s="84"/>
      <c r="EG170" s="84"/>
      <c r="EK170" s="84"/>
      <c r="EO170" s="84"/>
      <c r="ES170" s="84"/>
      <c r="EW170" s="84"/>
    </row>
    <row r="171" customFormat="false" ht="12.75" hidden="false" customHeight="false" outlineLevel="0" collapsed="false">
      <c r="A171" s="37"/>
      <c r="E171" s="83"/>
      <c r="J171" s="84"/>
      <c r="N171" s="84"/>
      <c r="R171" s="84"/>
      <c r="V171" s="84"/>
      <c r="Z171" s="84"/>
      <c r="AD171" s="84"/>
      <c r="AH171" s="84"/>
      <c r="AL171" s="84"/>
      <c r="AP171" s="84"/>
      <c r="AT171" s="84"/>
      <c r="AX171" s="84"/>
      <c r="BB171" s="85"/>
      <c r="BC171" s="84"/>
      <c r="BD171" s="84"/>
      <c r="BF171" s="84"/>
      <c r="BL171" s="84"/>
      <c r="BP171" s="86"/>
      <c r="BV171" s="84"/>
      <c r="CA171" s="84"/>
      <c r="CF171" s="84"/>
      <c r="CK171" s="84"/>
      <c r="CP171" s="84"/>
      <c r="CS171" s="86"/>
      <c r="CT171" s="84"/>
      <c r="CW171" s="86"/>
      <c r="CX171" s="84"/>
      <c r="DA171" s="86"/>
      <c r="DB171" s="84"/>
      <c r="DE171" s="86"/>
      <c r="DF171" s="84"/>
      <c r="DI171" s="86"/>
      <c r="DJ171" s="84"/>
      <c r="DM171" s="86"/>
      <c r="DN171" s="84"/>
      <c r="DQ171" s="86"/>
      <c r="DR171" s="85"/>
      <c r="DS171" s="85"/>
      <c r="DT171" s="84"/>
      <c r="DV171" s="84"/>
      <c r="DW171" s="157"/>
      <c r="EB171" s="84"/>
      <c r="EG171" s="84"/>
      <c r="EK171" s="84"/>
      <c r="EO171" s="84"/>
      <c r="ES171" s="84"/>
      <c r="EW171" s="84"/>
    </row>
    <row r="172" customFormat="false" ht="12.75" hidden="false" customHeight="false" outlineLevel="0" collapsed="false">
      <c r="A172" s="37"/>
      <c r="E172" s="83"/>
      <c r="J172" s="84"/>
      <c r="N172" s="84"/>
      <c r="R172" s="84"/>
      <c r="V172" s="84"/>
      <c r="Z172" s="84"/>
      <c r="AD172" s="84"/>
      <c r="AH172" s="84"/>
      <c r="AL172" s="84"/>
      <c r="AP172" s="84"/>
      <c r="AT172" s="84"/>
      <c r="AX172" s="84"/>
      <c r="BB172" s="85"/>
      <c r="BC172" s="84"/>
      <c r="BD172" s="84"/>
      <c r="BF172" s="84"/>
      <c r="BL172" s="84"/>
      <c r="BP172" s="86"/>
      <c r="BV172" s="84"/>
      <c r="CA172" s="84"/>
      <c r="CF172" s="84"/>
      <c r="CK172" s="84"/>
      <c r="CP172" s="84"/>
      <c r="CS172" s="86"/>
      <c r="CT172" s="84"/>
      <c r="CW172" s="86"/>
      <c r="CX172" s="84"/>
      <c r="DA172" s="86"/>
      <c r="DB172" s="84"/>
      <c r="DE172" s="86"/>
      <c r="DF172" s="84"/>
      <c r="DI172" s="86"/>
      <c r="DJ172" s="84"/>
      <c r="DM172" s="86"/>
      <c r="DN172" s="84"/>
      <c r="DQ172" s="86"/>
      <c r="DR172" s="85"/>
      <c r="DS172" s="85"/>
      <c r="DT172" s="84"/>
      <c r="DV172" s="84"/>
      <c r="DW172" s="157"/>
      <c r="EB172" s="84"/>
      <c r="EG172" s="84"/>
      <c r="EK172" s="84"/>
      <c r="EO172" s="84"/>
      <c r="ES172" s="84"/>
      <c r="EW172" s="84"/>
    </row>
    <row r="173" customFormat="false" ht="12.75" hidden="false" customHeight="false" outlineLevel="0" collapsed="false">
      <c r="A173" s="37"/>
      <c r="E173" s="83"/>
      <c r="J173" s="84"/>
      <c r="N173" s="84"/>
      <c r="R173" s="84"/>
      <c r="V173" s="84"/>
      <c r="Z173" s="84"/>
      <c r="AD173" s="84"/>
      <c r="AH173" s="84"/>
      <c r="AL173" s="84"/>
      <c r="AP173" s="84"/>
      <c r="AT173" s="84"/>
      <c r="AX173" s="84"/>
      <c r="BB173" s="85"/>
      <c r="BC173" s="84"/>
      <c r="BD173" s="84"/>
      <c r="BF173" s="84"/>
      <c r="BL173" s="84"/>
      <c r="BP173" s="86"/>
      <c r="BV173" s="84"/>
      <c r="CA173" s="84"/>
      <c r="CF173" s="84"/>
      <c r="CK173" s="84"/>
      <c r="CP173" s="84"/>
      <c r="CS173" s="86"/>
      <c r="CT173" s="84"/>
      <c r="CW173" s="86"/>
      <c r="CX173" s="84"/>
      <c r="DA173" s="86"/>
      <c r="DB173" s="84"/>
      <c r="DE173" s="86"/>
      <c r="DF173" s="84"/>
      <c r="DI173" s="86"/>
      <c r="DJ173" s="84"/>
      <c r="DM173" s="86"/>
      <c r="DN173" s="84"/>
      <c r="DQ173" s="86"/>
      <c r="DR173" s="85"/>
      <c r="DS173" s="85"/>
      <c r="DT173" s="84"/>
      <c r="DV173" s="84"/>
      <c r="DW173" s="157"/>
      <c r="EB173" s="84"/>
      <c r="EG173" s="84"/>
      <c r="EK173" s="84"/>
      <c r="EO173" s="84"/>
      <c r="ES173" s="84"/>
      <c r="EW173" s="84"/>
    </row>
    <row r="174" customFormat="false" ht="12.75" hidden="false" customHeight="false" outlineLevel="0" collapsed="false">
      <c r="A174" s="37"/>
      <c r="E174" s="83"/>
      <c r="J174" s="84"/>
      <c r="N174" s="84"/>
      <c r="R174" s="84"/>
      <c r="V174" s="84"/>
      <c r="Z174" s="84"/>
      <c r="AD174" s="84"/>
      <c r="AH174" s="84"/>
      <c r="AL174" s="84"/>
      <c r="AP174" s="84"/>
      <c r="AT174" s="84"/>
      <c r="AX174" s="84"/>
      <c r="BB174" s="85"/>
      <c r="BC174" s="84"/>
      <c r="BD174" s="84"/>
      <c r="BF174" s="84"/>
      <c r="BL174" s="84"/>
      <c r="BP174" s="86"/>
      <c r="BV174" s="84"/>
      <c r="CA174" s="84"/>
      <c r="CF174" s="84"/>
      <c r="CK174" s="84"/>
      <c r="CP174" s="84"/>
      <c r="CS174" s="86"/>
      <c r="CT174" s="84"/>
      <c r="CW174" s="86"/>
      <c r="CX174" s="84"/>
      <c r="DA174" s="86"/>
      <c r="DB174" s="84"/>
      <c r="DE174" s="86"/>
      <c r="DF174" s="84"/>
      <c r="DI174" s="86"/>
      <c r="DJ174" s="84"/>
      <c r="DM174" s="86"/>
      <c r="DN174" s="84"/>
      <c r="DQ174" s="86"/>
      <c r="DR174" s="85"/>
      <c r="DS174" s="85"/>
      <c r="DT174" s="84"/>
      <c r="DV174" s="84"/>
      <c r="DW174" s="157"/>
      <c r="EB174" s="84"/>
      <c r="EG174" s="84"/>
      <c r="EK174" s="84"/>
      <c r="EO174" s="84"/>
      <c r="ES174" s="84"/>
      <c r="EW174" s="84"/>
    </row>
    <row r="175" customFormat="false" ht="12.75" hidden="false" customHeight="false" outlineLevel="0" collapsed="false">
      <c r="A175" s="37"/>
      <c r="E175" s="83"/>
      <c r="J175" s="84"/>
      <c r="N175" s="84"/>
      <c r="R175" s="84"/>
      <c r="V175" s="84"/>
      <c r="Z175" s="84"/>
      <c r="AD175" s="84"/>
      <c r="AH175" s="84"/>
      <c r="AL175" s="84"/>
      <c r="AP175" s="84"/>
      <c r="AT175" s="84"/>
      <c r="AX175" s="84"/>
      <c r="BB175" s="85"/>
      <c r="BC175" s="84"/>
      <c r="BD175" s="84"/>
      <c r="BF175" s="84"/>
      <c r="BL175" s="84"/>
      <c r="BP175" s="86"/>
      <c r="BV175" s="84"/>
      <c r="CA175" s="84"/>
      <c r="CF175" s="84"/>
      <c r="CK175" s="84"/>
      <c r="CP175" s="84"/>
      <c r="CS175" s="86"/>
      <c r="CT175" s="84"/>
      <c r="CW175" s="86"/>
      <c r="CX175" s="84"/>
      <c r="DA175" s="86"/>
      <c r="DB175" s="84"/>
      <c r="DE175" s="86"/>
      <c r="DF175" s="84"/>
      <c r="DI175" s="86"/>
      <c r="DJ175" s="84"/>
      <c r="DM175" s="86"/>
      <c r="DN175" s="84"/>
      <c r="DQ175" s="86"/>
      <c r="DR175" s="85"/>
      <c r="DS175" s="85"/>
      <c r="DT175" s="84"/>
      <c r="DV175" s="84"/>
      <c r="DW175" s="157"/>
      <c r="EB175" s="84"/>
      <c r="EG175" s="84"/>
      <c r="EK175" s="84"/>
      <c r="EO175" s="84"/>
      <c r="ES175" s="84"/>
      <c r="EW175" s="84"/>
    </row>
    <row r="176" customFormat="false" ht="12.75" hidden="false" customHeight="false" outlineLevel="0" collapsed="false">
      <c r="A176" s="37"/>
      <c r="E176" s="83"/>
      <c r="J176" s="84"/>
      <c r="N176" s="84"/>
      <c r="R176" s="84"/>
      <c r="V176" s="84"/>
      <c r="Z176" s="84"/>
      <c r="AD176" s="84"/>
      <c r="AH176" s="84"/>
      <c r="AL176" s="84"/>
      <c r="AP176" s="84"/>
      <c r="AT176" s="84"/>
      <c r="AX176" s="84"/>
      <c r="BB176" s="85"/>
      <c r="BC176" s="84"/>
      <c r="BD176" s="84"/>
      <c r="BF176" s="84"/>
      <c r="BL176" s="84"/>
      <c r="BP176" s="86"/>
      <c r="BV176" s="84"/>
      <c r="CA176" s="84"/>
      <c r="CF176" s="84"/>
      <c r="CK176" s="84"/>
      <c r="CP176" s="84"/>
      <c r="CS176" s="86"/>
      <c r="CT176" s="84"/>
      <c r="CW176" s="86"/>
      <c r="CX176" s="84"/>
      <c r="DA176" s="86"/>
      <c r="DB176" s="84"/>
      <c r="DE176" s="86"/>
      <c r="DF176" s="84"/>
      <c r="DI176" s="86"/>
      <c r="DJ176" s="84"/>
      <c r="DM176" s="86"/>
      <c r="DN176" s="84"/>
      <c r="DQ176" s="86"/>
      <c r="DR176" s="85"/>
      <c r="DS176" s="85"/>
      <c r="DT176" s="84"/>
      <c r="DV176" s="84"/>
      <c r="DW176" s="157"/>
      <c r="EB176" s="84"/>
      <c r="EG176" s="84"/>
      <c r="EK176" s="84"/>
      <c r="EO176" s="84"/>
      <c r="ES176" s="84"/>
      <c r="EW176" s="84"/>
    </row>
    <row r="177" customFormat="false" ht="12.75" hidden="false" customHeight="false" outlineLevel="0" collapsed="false">
      <c r="A177" s="37"/>
      <c r="E177" s="83"/>
      <c r="J177" s="84"/>
      <c r="N177" s="84"/>
      <c r="R177" s="84"/>
      <c r="V177" s="84"/>
      <c r="Z177" s="84"/>
      <c r="AD177" s="84"/>
      <c r="AH177" s="84"/>
      <c r="AL177" s="84"/>
      <c r="AP177" s="84"/>
      <c r="AT177" s="84"/>
      <c r="AX177" s="84"/>
      <c r="BB177" s="85"/>
      <c r="BC177" s="84"/>
      <c r="BD177" s="84"/>
      <c r="BF177" s="84"/>
      <c r="BL177" s="84"/>
      <c r="BP177" s="86"/>
      <c r="BV177" s="84"/>
      <c r="CA177" s="84"/>
      <c r="CF177" s="84"/>
      <c r="CK177" s="84"/>
      <c r="CP177" s="84"/>
      <c r="CS177" s="86"/>
      <c r="CT177" s="84"/>
      <c r="CW177" s="86"/>
      <c r="CX177" s="84"/>
      <c r="DA177" s="86"/>
      <c r="DB177" s="84"/>
      <c r="DE177" s="86"/>
      <c r="DF177" s="84"/>
      <c r="DI177" s="86"/>
      <c r="DJ177" s="84"/>
      <c r="DM177" s="86"/>
      <c r="DN177" s="84"/>
      <c r="DQ177" s="86"/>
      <c r="DR177" s="85"/>
      <c r="DS177" s="85"/>
      <c r="DT177" s="84"/>
      <c r="DV177" s="84"/>
      <c r="DW177" s="157"/>
      <c r="EB177" s="84"/>
      <c r="EG177" s="84"/>
      <c r="EK177" s="84"/>
      <c r="EO177" s="84"/>
      <c r="ES177" s="84"/>
      <c r="EW177" s="84"/>
    </row>
    <row r="178" customFormat="false" ht="12.75" hidden="false" customHeight="false" outlineLevel="0" collapsed="false">
      <c r="A178" s="37"/>
      <c r="E178" s="83"/>
      <c r="J178" s="84"/>
      <c r="N178" s="84"/>
      <c r="R178" s="84"/>
      <c r="V178" s="84"/>
      <c r="Z178" s="84"/>
      <c r="AD178" s="84"/>
      <c r="AH178" s="84"/>
      <c r="AL178" s="84"/>
      <c r="AP178" s="84"/>
      <c r="AT178" s="84"/>
      <c r="AX178" s="84"/>
      <c r="BB178" s="85"/>
      <c r="BC178" s="84"/>
      <c r="BD178" s="84"/>
      <c r="BF178" s="84"/>
      <c r="BL178" s="84"/>
      <c r="BP178" s="86"/>
      <c r="BV178" s="84"/>
      <c r="CA178" s="84"/>
      <c r="CF178" s="84"/>
      <c r="CK178" s="84"/>
      <c r="CP178" s="84"/>
      <c r="CS178" s="86"/>
      <c r="CT178" s="84"/>
      <c r="CW178" s="86"/>
      <c r="CX178" s="84"/>
      <c r="DA178" s="86"/>
      <c r="DB178" s="84"/>
      <c r="DE178" s="86"/>
      <c r="DF178" s="84"/>
      <c r="DI178" s="86"/>
      <c r="DJ178" s="84"/>
      <c r="DM178" s="86"/>
      <c r="DN178" s="84"/>
      <c r="DQ178" s="86"/>
      <c r="DR178" s="85"/>
      <c r="DS178" s="85"/>
      <c r="DT178" s="84"/>
      <c r="DV178" s="84"/>
      <c r="DW178" s="157"/>
      <c r="EB178" s="84"/>
      <c r="EG178" s="84"/>
      <c r="EK178" s="84"/>
      <c r="EO178" s="84"/>
      <c r="ES178" s="84"/>
      <c r="EW178" s="84"/>
    </row>
    <row r="179" customFormat="false" ht="12.75" hidden="false" customHeight="false" outlineLevel="0" collapsed="false">
      <c r="A179" s="37"/>
      <c r="E179" s="83"/>
      <c r="J179" s="84"/>
      <c r="N179" s="84"/>
      <c r="R179" s="84"/>
      <c r="V179" s="84"/>
      <c r="Z179" s="84"/>
      <c r="AD179" s="84"/>
      <c r="AH179" s="84"/>
      <c r="AL179" s="84"/>
      <c r="AP179" s="84"/>
      <c r="AT179" s="84"/>
      <c r="AX179" s="84"/>
      <c r="BB179" s="85"/>
      <c r="BC179" s="84"/>
      <c r="BD179" s="84"/>
      <c r="BF179" s="84"/>
      <c r="BL179" s="84"/>
      <c r="BP179" s="86"/>
      <c r="BV179" s="84"/>
      <c r="CA179" s="84"/>
      <c r="CF179" s="84"/>
      <c r="CK179" s="84"/>
      <c r="CP179" s="84"/>
      <c r="CS179" s="86"/>
      <c r="CT179" s="84"/>
      <c r="CW179" s="86"/>
      <c r="CX179" s="84"/>
      <c r="DA179" s="86"/>
      <c r="DB179" s="84"/>
      <c r="DE179" s="86"/>
      <c r="DF179" s="84"/>
      <c r="DI179" s="86"/>
      <c r="DJ179" s="84"/>
      <c r="DM179" s="86"/>
      <c r="DN179" s="84"/>
      <c r="DQ179" s="86"/>
      <c r="DR179" s="85"/>
      <c r="DS179" s="85"/>
      <c r="DT179" s="84"/>
      <c r="DV179" s="84"/>
      <c r="DW179" s="157"/>
      <c r="EB179" s="84"/>
      <c r="EG179" s="84"/>
      <c r="EK179" s="84"/>
      <c r="EO179" s="84"/>
      <c r="ES179" s="84"/>
      <c r="EW179" s="84"/>
    </row>
    <row r="180" customFormat="false" ht="12.75" hidden="false" customHeight="false" outlineLevel="0" collapsed="false">
      <c r="A180" s="37"/>
      <c r="E180" s="83"/>
      <c r="J180" s="84"/>
      <c r="N180" s="84"/>
      <c r="R180" s="84"/>
      <c r="V180" s="84"/>
      <c r="Z180" s="84"/>
      <c r="AD180" s="84"/>
      <c r="AH180" s="84"/>
      <c r="AL180" s="84"/>
      <c r="AP180" s="84"/>
      <c r="AT180" s="84"/>
      <c r="AX180" s="84"/>
      <c r="BB180" s="85"/>
      <c r="BC180" s="84"/>
      <c r="BD180" s="84"/>
      <c r="BF180" s="84"/>
      <c r="BL180" s="84"/>
      <c r="BP180" s="86"/>
      <c r="BV180" s="84"/>
      <c r="CA180" s="84"/>
      <c r="CF180" s="84"/>
      <c r="CK180" s="84"/>
      <c r="CP180" s="84"/>
      <c r="CS180" s="86"/>
      <c r="CT180" s="84"/>
      <c r="CW180" s="86"/>
      <c r="CX180" s="84"/>
      <c r="DA180" s="86"/>
      <c r="DB180" s="84"/>
      <c r="DE180" s="86"/>
      <c r="DF180" s="84"/>
      <c r="DI180" s="86"/>
      <c r="DJ180" s="84"/>
      <c r="DM180" s="86"/>
      <c r="DN180" s="84"/>
      <c r="DQ180" s="86"/>
      <c r="DR180" s="85"/>
      <c r="DS180" s="85"/>
      <c r="DT180" s="84"/>
      <c r="DV180" s="84"/>
      <c r="DW180" s="157"/>
      <c r="EB180" s="84"/>
      <c r="EG180" s="84"/>
      <c r="EK180" s="84"/>
      <c r="EO180" s="84"/>
      <c r="ES180" s="84"/>
      <c r="EW180" s="84"/>
    </row>
    <row r="181" customFormat="false" ht="12.75" hidden="false" customHeight="false" outlineLevel="0" collapsed="false">
      <c r="A181" s="37"/>
      <c r="E181" s="83"/>
      <c r="J181" s="84"/>
      <c r="N181" s="84"/>
      <c r="R181" s="84"/>
      <c r="V181" s="84"/>
      <c r="Z181" s="84"/>
      <c r="AD181" s="84"/>
      <c r="AH181" s="84"/>
      <c r="AL181" s="84"/>
      <c r="AP181" s="84"/>
      <c r="AT181" s="84"/>
      <c r="AX181" s="84"/>
      <c r="BB181" s="85"/>
      <c r="BC181" s="84"/>
      <c r="BD181" s="84"/>
      <c r="BF181" s="84"/>
      <c r="BL181" s="84"/>
      <c r="BP181" s="86"/>
      <c r="BV181" s="84"/>
      <c r="CA181" s="84"/>
      <c r="CF181" s="84"/>
      <c r="CK181" s="84"/>
      <c r="CP181" s="84"/>
      <c r="CS181" s="86"/>
      <c r="CT181" s="84"/>
      <c r="CW181" s="86"/>
      <c r="CX181" s="84"/>
      <c r="DA181" s="86"/>
      <c r="DB181" s="84"/>
      <c r="DE181" s="86"/>
      <c r="DF181" s="84"/>
      <c r="DI181" s="86"/>
      <c r="DJ181" s="84"/>
      <c r="DM181" s="86"/>
      <c r="DN181" s="84"/>
      <c r="DQ181" s="86"/>
      <c r="DR181" s="85"/>
      <c r="DS181" s="85"/>
      <c r="DT181" s="84"/>
      <c r="DV181" s="84"/>
      <c r="DW181" s="157"/>
      <c r="EB181" s="84"/>
      <c r="EG181" s="84"/>
      <c r="EK181" s="84"/>
      <c r="EO181" s="84"/>
      <c r="ES181" s="84"/>
      <c r="EW181" s="84"/>
    </row>
    <row r="182" customFormat="false" ht="12.75" hidden="false" customHeight="false" outlineLevel="0" collapsed="false">
      <c r="A182" s="37"/>
      <c r="E182" s="83"/>
      <c r="J182" s="84"/>
      <c r="N182" s="84"/>
      <c r="R182" s="84"/>
      <c r="V182" s="84"/>
      <c r="Z182" s="84"/>
      <c r="AD182" s="84"/>
      <c r="AH182" s="84"/>
      <c r="AL182" s="84"/>
      <c r="AP182" s="84"/>
      <c r="AT182" s="84"/>
      <c r="AX182" s="84"/>
      <c r="BB182" s="85"/>
      <c r="BC182" s="84"/>
      <c r="BD182" s="84"/>
      <c r="BF182" s="84"/>
      <c r="BL182" s="84"/>
      <c r="BP182" s="86"/>
      <c r="BV182" s="84"/>
      <c r="CA182" s="84"/>
      <c r="CF182" s="84"/>
      <c r="CK182" s="84"/>
      <c r="CP182" s="84"/>
      <c r="CS182" s="86"/>
      <c r="CT182" s="84"/>
      <c r="CW182" s="86"/>
      <c r="CX182" s="84"/>
      <c r="DA182" s="86"/>
      <c r="DB182" s="84"/>
      <c r="DE182" s="86"/>
      <c r="DF182" s="84"/>
      <c r="DI182" s="86"/>
      <c r="DJ182" s="84"/>
      <c r="DM182" s="86"/>
      <c r="DN182" s="84"/>
      <c r="DQ182" s="86"/>
      <c r="DR182" s="85"/>
      <c r="DS182" s="85"/>
      <c r="DT182" s="84"/>
      <c r="DV182" s="84"/>
      <c r="DW182" s="157"/>
      <c r="EB182" s="84"/>
      <c r="EG182" s="84"/>
      <c r="EK182" s="84"/>
      <c r="EO182" s="84"/>
      <c r="ES182" s="84"/>
      <c r="EW182" s="84"/>
    </row>
    <row r="183" customFormat="false" ht="12.75" hidden="false" customHeight="false" outlineLevel="0" collapsed="false">
      <c r="A183" s="37"/>
      <c r="E183" s="83"/>
      <c r="J183" s="84"/>
      <c r="N183" s="84"/>
      <c r="R183" s="84"/>
      <c r="V183" s="84"/>
      <c r="Z183" s="84"/>
      <c r="AD183" s="84"/>
      <c r="AH183" s="84"/>
      <c r="AL183" s="84"/>
      <c r="AP183" s="84"/>
      <c r="AT183" s="84"/>
      <c r="AX183" s="84"/>
      <c r="BB183" s="85"/>
      <c r="BC183" s="84"/>
      <c r="BD183" s="84"/>
      <c r="BF183" s="84"/>
      <c r="BL183" s="84"/>
      <c r="BP183" s="86"/>
      <c r="BV183" s="84"/>
      <c r="CA183" s="84"/>
      <c r="CF183" s="84"/>
      <c r="CK183" s="84"/>
      <c r="CP183" s="84"/>
      <c r="CS183" s="86"/>
      <c r="CT183" s="84"/>
      <c r="CW183" s="86"/>
      <c r="CX183" s="84"/>
      <c r="DA183" s="86"/>
      <c r="DB183" s="84"/>
      <c r="DE183" s="86"/>
      <c r="DF183" s="84"/>
      <c r="DI183" s="86"/>
      <c r="DJ183" s="84"/>
      <c r="DM183" s="86"/>
      <c r="DN183" s="84"/>
      <c r="DQ183" s="86"/>
      <c r="DR183" s="85"/>
      <c r="DS183" s="85"/>
      <c r="DT183" s="84"/>
      <c r="DV183" s="84"/>
      <c r="DW183" s="157"/>
      <c r="EB183" s="84"/>
      <c r="EG183" s="84"/>
      <c r="EK183" s="84"/>
      <c r="EO183" s="84"/>
      <c r="ES183" s="84"/>
      <c r="EW183" s="84"/>
    </row>
    <row r="184" customFormat="false" ht="12.75" hidden="false" customHeight="false" outlineLevel="0" collapsed="false">
      <c r="A184" s="37"/>
      <c r="E184" s="83"/>
      <c r="J184" s="84"/>
      <c r="N184" s="84"/>
      <c r="R184" s="84"/>
      <c r="V184" s="84"/>
      <c r="Z184" s="84"/>
      <c r="AD184" s="84"/>
      <c r="AH184" s="84"/>
      <c r="AL184" s="84"/>
      <c r="AP184" s="84"/>
      <c r="AT184" s="84"/>
      <c r="AX184" s="84"/>
      <c r="BB184" s="85"/>
      <c r="BC184" s="84"/>
      <c r="BD184" s="84"/>
      <c r="BF184" s="84"/>
      <c r="BL184" s="84"/>
      <c r="BP184" s="86"/>
      <c r="BV184" s="84"/>
      <c r="CA184" s="84"/>
      <c r="CF184" s="84"/>
      <c r="CK184" s="84"/>
      <c r="CP184" s="84"/>
      <c r="CS184" s="86"/>
      <c r="CT184" s="84"/>
      <c r="CW184" s="86"/>
      <c r="CX184" s="84"/>
      <c r="DA184" s="86"/>
      <c r="DB184" s="84"/>
      <c r="DE184" s="86"/>
      <c r="DF184" s="84"/>
      <c r="DI184" s="86"/>
      <c r="DJ184" s="84"/>
      <c r="DM184" s="86"/>
      <c r="DN184" s="84"/>
      <c r="DQ184" s="86"/>
      <c r="DR184" s="85"/>
      <c r="DS184" s="85"/>
      <c r="DT184" s="84"/>
      <c r="DV184" s="84"/>
      <c r="DW184" s="157"/>
      <c r="EB184" s="84"/>
      <c r="EG184" s="84"/>
      <c r="EK184" s="84"/>
      <c r="EO184" s="84"/>
      <c r="ES184" s="84"/>
      <c r="EW184" s="84"/>
    </row>
    <row r="185" customFormat="false" ht="12.75" hidden="false" customHeight="false" outlineLevel="0" collapsed="false">
      <c r="A185" s="37"/>
      <c r="E185" s="83"/>
      <c r="J185" s="84"/>
      <c r="N185" s="84"/>
      <c r="R185" s="84"/>
      <c r="V185" s="84"/>
      <c r="Z185" s="84"/>
      <c r="AD185" s="84"/>
      <c r="AH185" s="84"/>
      <c r="AL185" s="84"/>
      <c r="AP185" s="84"/>
      <c r="AT185" s="84"/>
      <c r="AX185" s="84"/>
      <c r="BB185" s="85"/>
      <c r="BC185" s="84"/>
      <c r="BD185" s="84"/>
      <c r="BF185" s="84"/>
      <c r="BL185" s="84"/>
      <c r="BP185" s="86"/>
      <c r="BV185" s="84"/>
      <c r="CA185" s="84"/>
      <c r="CF185" s="84"/>
      <c r="CK185" s="84"/>
      <c r="CP185" s="84"/>
      <c r="CS185" s="86"/>
      <c r="CT185" s="84"/>
      <c r="CW185" s="86"/>
      <c r="CX185" s="84"/>
      <c r="DA185" s="86"/>
      <c r="DB185" s="84"/>
      <c r="DE185" s="86"/>
      <c r="DF185" s="84"/>
      <c r="DI185" s="86"/>
      <c r="DJ185" s="84"/>
      <c r="DM185" s="86"/>
      <c r="DN185" s="84"/>
      <c r="DQ185" s="86"/>
      <c r="DR185" s="85"/>
      <c r="DS185" s="85"/>
      <c r="DT185" s="84"/>
      <c r="DV185" s="84"/>
      <c r="DW185" s="157"/>
      <c r="EB185" s="84"/>
      <c r="EG185" s="84"/>
      <c r="EK185" s="84"/>
      <c r="EO185" s="84"/>
      <c r="ES185" s="84"/>
      <c r="EW185" s="84"/>
    </row>
    <row r="186" customFormat="false" ht="12.75" hidden="false" customHeight="false" outlineLevel="0" collapsed="false">
      <c r="A186" s="37"/>
      <c r="E186" s="83"/>
      <c r="J186" s="84"/>
      <c r="N186" s="84"/>
      <c r="R186" s="84"/>
      <c r="V186" s="84"/>
      <c r="Z186" s="84"/>
      <c r="AD186" s="84"/>
      <c r="AH186" s="84"/>
      <c r="AL186" s="84"/>
      <c r="AP186" s="84"/>
      <c r="AT186" s="84"/>
      <c r="AX186" s="84"/>
      <c r="BB186" s="85"/>
      <c r="BC186" s="84"/>
      <c r="BD186" s="84"/>
      <c r="BF186" s="84"/>
      <c r="BL186" s="84"/>
      <c r="BP186" s="86"/>
      <c r="BV186" s="84"/>
      <c r="CA186" s="84"/>
      <c r="CF186" s="84"/>
      <c r="CK186" s="84"/>
      <c r="CP186" s="84"/>
      <c r="CS186" s="86"/>
      <c r="CT186" s="84"/>
      <c r="CW186" s="86"/>
      <c r="CX186" s="84"/>
      <c r="DA186" s="86"/>
      <c r="DB186" s="84"/>
      <c r="DE186" s="86"/>
      <c r="DF186" s="84"/>
      <c r="DI186" s="86"/>
      <c r="DJ186" s="84"/>
      <c r="DM186" s="86"/>
      <c r="DN186" s="84"/>
      <c r="DQ186" s="86"/>
      <c r="DR186" s="85"/>
      <c r="DS186" s="85"/>
      <c r="DT186" s="84"/>
      <c r="DV186" s="84"/>
      <c r="DW186" s="157"/>
      <c r="EB186" s="84"/>
      <c r="EG186" s="84"/>
      <c r="EK186" s="84"/>
      <c r="EO186" s="84"/>
      <c r="ES186" s="84"/>
      <c r="EW186" s="84"/>
    </row>
    <row r="187" customFormat="false" ht="12.75" hidden="false" customHeight="false" outlineLevel="0" collapsed="false">
      <c r="A187" s="37"/>
      <c r="E187" s="83"/>
      <c r="J187" s="84"/>
      <c r="N187" s="84"/>
      <c r="R187" s="84"/>
      <c r="V187" s="84"/>
      <c r="Z187" s="84"/>
      <c r="AD187" s="84"/>
      <c r="AH187" s="84"/>
      <c r="AL187" s="84"/>
      <c r="AP187" s="84"/>
      <c r="AT187" s="84"/>
      <c r="AX187" s="84"/>
      <c r="BB187" s="85"/>
      <c r="BC187" s="84"/>
      <c r="BD187" s="84"/>
      <c r="BF187" s="84"/>
      <c r="BL187" s="84"/>
      <c r="BP187" s="86"/>
      <c r="BV187" s="84"/>
      <c r="CA187" s="84"/>
      <c r="CF187" s="84"/>
      <c r="CK187" s="84"/>
      <c r="CP187" s="84"/>
      <c r="CS187" s="86"/>
      <c r="CT187" s="84"/>
      <c r="CW187" s="86"/>
      <c r="CX187" s="84"/>
      <c r="DA187" s="86"/>
      <c r="DB187" s="84"/>
      <c r="DE187" s="86"/>
      <c r="DF187" s="84"/>
      <c r="DI187" s="86"/>
      <c r="DJ187" s="84"/>
      <c r="DM187" s="86"/>
      <c r="DN187" s="84"/>
      <c r="DQ187" s="86"/>
      <c r="DR187" s="85"/>
      <c r="DS187" s="85"/>
      <c r="DT187" s="84"/>
      <c r="DV187" s="84"/>
      <c r="DW187" s="157"/>
      <c r="EB187" s="84"/>
      <c r="EG187" s="84"/>
      <c r="EK187" s="84"/>
      <c r="EO187" s="84"/>
      <c r="ES187" s="84"/>
      <c r="EW187" s="84"/>
    </row>
    <row r="188" customFormat="false" ht="12.75" hidden="false" customHeight="false" outlineLevel="0" collapsed="false">
      <c r="A188" s="37"/>
      <c r="E188" s="83"/>
      <c r="J188" s="84"/>
      <c r="N188" s="84"/>
      <c r="R188" s="84"/>
      <c r="V188" s="84"/>
      <c r="Z188" s="84"/>
      <c r="AD188" s="84"/>
      <c r="AH188" s="84"/>
      <c r="AL188" s="84"/>
      <c r="AP188" s="84"/>
      <c r="AT188" s="84"/>
      <c r="AX188" s="84"/>
      <c r="BB188" s="85"/>
      <c r="BC188" s="84"/>
      <c r="BD188" s="84"/>
      <c r="BF188" s="84"/>
      <c r="BL188" s="84"/>
      <c r="BP188" s="86"/>
      <c r="BV188" s="84"/>
      <c r="CA188" s="84"/>
      <c r="CF188" s="84"/>
      <c r="CK188" s="84"/>
      <c r="CP188" s="84"/>
      <c r="CS188" s="86"/>
      <c r="CT188" s="84"/>
      <c r="CW188" s="86"/>
      <c r="CX188" s="84"/>
      <c r="DA188" s="86"/>
      <c r="DB188" s="84"/>
      <c r="DE188" s="86"/>
      <c r="DF188" s="84"/>
      <c r="DI188" s="86"/>
      <c r="DJ188" s="84"/>
      <c r="DM188" s="86"/>
      <c r="DN188" s="84"/>
      <c r="DQ188" s="86"/>
      <c r="DR188" s="85"/>
      <c r="DS188" s="85"/>
      <c r="DT188" s="84"/>
      <c r="DV188" s="84"/>
      <c r="DW188" s="157"/>
      <c r="EB188" s="84"/>
      <c r="EG188" s="84"/>
      <c r="EK188" s="84"/>
      <c r="EO188" s="84"/>
      <c r="ES188" s="84"/>
      <c r="EW188" s="84"/>
    </row>
    <row r="189" customFormat="false" ht="12.75" hidden="false" customHeight="false" outlineLevel="0" collapsed="false">
      <c r="A189" s="37"/>
      <c r="E189" s="83"/>
      <c r="J189" s="84"/>
      <c r="N189" s="84"/>
      <c r="R189" s="84"/>
      <c r="V189" s="84"/>
      <c r="Z189" s="84"/>
      <c r="AD189" s="84"/>
      <c r="AH189" s="84"/>
      <c r="AL189" s="84"/>
      <c r="AP189" s="84"/>
      <c r="AT189" s="84"/>
      <c r="AX189" s="84"/>
      <c r="BB189" s="85"/>
      <c r="BC189" s="84"/>
      <c r="BD189" s="84"/>
      <c r="BF189" s="84"/>
      <c r="BL189" s="84"/>
      <c r="BP189" s="86"/>
      <c r="BV189" s="84"/>
      <c r="CA189" s="84"/>
      <c r="CF189" s="84"/>
      <c r="CK189" s="84"/>
      <c r="CP189" s="84"/>
      <c r="CS189" s="86"/>
      <c r="CT189" s="84"/>
      <c r="CW189" s="86"/>
      <c r="CX189" s="84"/>
      <c r="DA189" s="86"/>
      <c r="DB189" s="84"/>
      <c r="DE189" s="86"/>
      <c r="DF189" s="84"/>
      <c r="DI189" s="86"/>
      <c r="DJ189" s="84"/>
      <c r="DM189" s="86"/>
      <c r="DN189" s="84"/>
      <c r="DQ189" s="86"/>
      <c r="DR189" s="85"/>
      <c r="DS189" s="85"/>
      <c r="DT189" s="84"/>
      <c r="DV189" s="84"/>
      <c r="DW189" s="157"/>
      <c r="EB189" s="84"/>
      <c r="EG189" s="84"/>
      <c r="EK189" s="84"/>
      <c r="EO189" s="84"/>
      <c r="ES189" s="84"/>
      <c r="EW189" s="84"/>
    </row>
    <row r="190" customFormat="false" ht="12.75" hidden="false" customHeight="false" outlineLevel="0" collapsed="false">
      <c r="A190" s="37"/>
      <c r="E190" s="83"/>
      <c r="J190" s="84"/>
      <c r="N190" s="84"/>
      <c r="R190" s="84"/>
      <c r="V190" s="84"/>
      <c r="Z190" s="84"/>
      <c r="AD190" s="84"/>
      <c r="AH190" s="84"/>
      <c r="AL190" s="84"/>
      <c r="AP190" s="84"/>
      <c r="AT190" s="84"/>
      <c r="AX190" s="84"/>
      <c r="BB190" s="85"/>
      <c r="BC190" s="84"/>
      <c r="BD190" s="84"/>
      <c r="BF190" s="84"/>
      <c r="BL190" s="84"/>
      <c r="BP190" s="86"/>
      <c r="BV190" s="84"/>
      <c r="CA190" s="84"/>
      <c r="CF190" s="84"/>
      <c r="CK190" s="84"/>
      <c r="CP190" s="84"/>
      <c r="CS190" s="86"/>
      <c r="CT190" s="84"/>
      <c r="CW190" s="86"/>
      <c r="CX190" s="84"/>
      <c r="DA190" s="86"/>
      <c r="DB190" s="84"/>
      <c r="DE190" s="86"/>
      <c r="DF190" s="84"/>
      <c r="DI190" s="86"/>
      <c r="DJ190" s="84"/>
      <c r="DM190" s="86"/>
      <c r="DN190" s="84"/>
      <c r="DQ190" s="86"/>
      <c r="DR190" s="85"/>
      <c r="DS190" s="85"/>
      <c r="DT190" s="84"/>
      <c r="DV190" s="84"/>
      <c r="DW190" s="157"/>
      <c r="EB190" s="84"/>
      <c r="EG190" s="84"/>
      <c r="EK190" s="84"/>
      <c r="EO190" s="84"/>
      <c r="ES190" s="84"/>
      <c r="EW190" s="84"/>
    </row>
    <row r="191" customFormat="false" ht="12.75" hidden="false" customHeight="false" outlineLevel="0" collapsed="false">
      <c r="A191" s="37"/>
      <c r="E191" s="83"/>
      <c r="J191" s="84"/>
      <c r="N191" s="84"/>
      <c r="R191" s="84"/>
      <c r="V191" s="84"/>
      <c r="Z191" s="84"/>
      <c r="AD191" s="84"/>
      <c r="AH191" s="84"/>
      <c r="AL191" s="84"/>
      <c r="AP191" s="84"/>
      <c r="AT191" s="84"/>
      <c r="AX191" s="84"/>
      <c r="BB191" s="85"/>
      <c r="BC191" s="84"/>
      <c r="BD191" s="84"/>
      <c r="BF191" s="84"/>
      <c r="BL191" s="84"/>
      <c r="BP191" s="86"/>
      <c r="BV191" s="84"/>
      <c r="CA191" s="84"/>
      <c r="CF191" s="84"/>
      <c r="CK191" s="84"/>
      <c r="CP191" s="84"/>
      <c r="CS191" s="86"/>
      <c r="CT191" s="84"/>
      <c r="CW191" s="86"/>
      <c r="CX191" s="84"/>
      <c r="DA191" s="86"/>
      <c r="DB191" s="84"/>
      <c r="DE191" s="86"/>
      <c r="DF191" s="84"/>
      <c r="DI191" s="86"/>
      <c r="DJ191" s="84"/>
      <c r="DM191" s="86"/>
      <c r="DN191" s="84"/>
      <c r="DQ191" s="86"/>
      <c r="DR191" s="85"/>
      <c r="DS191" s="85"/>
      <c r="DT191" s="84"/>
      <c r="DV191" s="84"/>
      <c r="DW191" s="157"/>
      <c r="EB191" s="84"/>
      <c r="EG191" s="84"/>
      <c r="EK191" s="84"/>
      <c r="EO191" s="84"/>
      <c r="ES191" s="84"/>
      <c r="EW191" s="84"/>
    </row>
    <row r="192" customFormat="false" ht="12.75" hidden="false" customHeight="false" outlineLevel="0" collapsed="false">
      <c r="A192" s="37"/>
      <c r="E192" s="83"/>
      <c r="J192" s="84"/>
      <c r="N192" s="84"/>
      <c r="R192" s="84"/>
      <c r="V192" s="84"/>
      <c r="Z192" s="84"/>
      <c r="AD192" s="84"/>
      <c r="AH192" s="84"/>
      <c r="AL192" s="84"/>
      <c r="AP192" s="84"/>
      <c r="AT192" s="84"/>
      <c r="AX192" s="84"/>
      <c r="BB192" s="85"/>
      <c r="BC192" s="84"/>
      <c r="BD192" s="84"/>
      <c r="BF192" s="84"/>
      <c r="BL192" s="84"/>
      <c r="BP192" s="86"/>
      <c r="BV192" s="84"/>
      <c r="CA192" s="84"/>
      <c r="CF192" s="84"/>
      <c r="CK192" s="84"/>
      <c r="CP192" s="84"/>
      <c r="CS192" s="86"/>
      <c r="CT192" s="84"/>
      <c r="CW192" s="86"/>
      <c r="CX192" s="84"/>
      <c r="DA192" s="86"/>
      <c r="DB192" s="84"/>
      <c r="DE192" s="86"/>
      <c r="DF192" s="84"/>
      <c r="DI192" s="86"/>
      <c r="DJ192" s="84"/>
      <c r="DM192" s="86"/>
      <c r="DN192" s="84"/>
      <c r="DQ192" s="86"/>
      <c r="DR192" s="85"/>
      <c r="DS192" s="85"/>
      <c r="DT192" s="84"/>
      <c r="DV192" s="84"/>
      <c r="DW192" s="157"/>
      <c r="EB192" s="84"/>
      <c r="EG192" s="84"/>
      <c r="EK192" s="84"/>
      <c r="EO192" s="84"/>
      <c r="ES192" s="84"/>
      <c r="EW192" s="84"/>
    </row>
    <row r="193" customFormat="false" ht="12.75" hidden="false" customHeight="false" outlineLevel="0" collapsed="false">
      <c r="A193" s="37"/>
      <c r="E193" s="83"/>
      <c r="J193" s="84"/>
      <c r="N193" s="84"/>
      <c r="R193" s="84"/>
      <c r="V193" s="84"/>
      <c r="Z193" s="84"/>
      <c r="AD193" s="84"/>
      <c r="AH193" s="84"/>
      <c r="AL193" s="84"/>
      <c r="AP193" s="84"/>
      <c r="AT193" s="84"/>
      <c r="AX193" s="84"/>
      <c r="BB193" s="85"/>
      <c r="BC193" s="84"/>
      <c r="BD193" s="84"/>
      <c r="BF193" s="84"/>
      <c r="BL193" s="84"/>
      <c r="BP193" s="86"/>
      <c r="BV193" s="84"/>
      <c r="CA193" s="84"/>
      <c r="CF193" s="84"/>
      <c r="CK193" s="84"/>
      <c r="CP193" s="84"/>
      <c r="CS193" s="86"/>
      <c r="CT193" s="84"/>
      <c r="CW193" s="86"/>
      <c r="CX193" s="84"/>
      <c r="DA193" s="86"/>
      <c r="DB193" s="84"/>
      <c r="DE193" s="86"/>
      <c r="DF193" s="84"/>
      <c r="DI193" s="86"/>
      <c r="DJ193" s="84"/>
      <c r="DM193" s="86"/>
      <c r="DN193" s="84"/>
      <c r="DQ193" s="86"/>
      <c r="DR193" s="85"/>
      <c r="DS193" s="85"/>
      <c r="DT193" s="84"/>
      <c r="DV193" s="84"/>
      <c r="DW193" s="157"/>
      <c r="EB193" s="84"/>
      <c r="EG193" s="84"/>
      <c r="EK193" s="84"/>
      <c r="EO193" s="84"/>
      <c r="ES193" s="84"/>
      <c r="EW193" s="84"/>
    </row>
    <row r="194" customFormat="false" ht="12.75" hidden="false" customHeight="false" outlineLevel="0" collapsed="false">
      <c r="A194" s="37"/>
      <c r="E194" s="83"/>
      <c r="J194" s="84"/>
      <c r="N194" s="84"/>
      <c r="R194" s="84"/>
      <c r="V194" s="84"/>
      <c r="Z194" s="84"/>
      <c r="AD194" s="84"/>
      <c r="AH194" s="84"/>
      <c r="AL194" s="84"/>
      <c r="AP194" s="84"/>
      <c r="AT194" s="84"/>
      <c r="AX194" s="84"/>
      <c r="BB194" s="85"/>
      <c r="BC194" s="84"/>
      <c r="BD194" s="84"/>
      <c r="BF194" s="84"/>
      <c r="BL194" s="84"/>
      <c r="BP194" s="86"/>
      <c r="BV194" s="84"/>
      <c r="CA194" s="84"/>
      <c r="CF194" s="84"/>
      <c r="CK194" s="84"/>
      <c r="CP194" s="84"/>
      <c r="CS194" s="86"/>
      <c r="CT194" s="84"/>
      <c r="CW194" s="86"/>
      <c r="CX194" s="84"/>
      <c r="DA194" s="86"/>
      <c r="DB194" s="84"/>
      <c r="DE194" s="86"/>
      <c r="DF194" s="84"/>
      <c r="DI194" s="86"/>
      <c r="DJ194" s="84"/>
      <c r="DM194" s="86"/>
      <c r="DN194" s="84"/>
      <c r="DQ194" s="86"/>
      <c r="DR194" s="85"/>
      <c r="DS194" s="85"/>
      <c r="DT194" s="84"/>
      <c r="DV194" s="84"/>
      <c r="DW194" s="157"/>
      <c r="EB194" s="84"/>
      <c r="EG194" s="84"/>
      <c r="EK194" s="84"/>
      <c r="EO194" s="84"/>
      <c r="ES194" s="84"/>
      <c r="EW194" s="84"/>
    </row>
    <row r="195" customFormat="false" ht="12.75" hidden="false" customHeight="false" outlineLevel="0" collapsed="false">
      <c r="A195" s="37"/>
      <c r="E195" s="83"/>
      <c r="J195" s="84"/>
      <c r="N195" s="84"/>
      <c r="R195" s="84"/>
      <c r="V195" s="84"/>
      <c r="Z195" s="84"/>
      <c r="AD195" s="84"/>
      <c r="AH195" s="84"/>
      <c r="AL195" s="84"/>
      <c r="AP195" s="84"/>
      <c r="AT195" s="84"/>
      <c r="AX195" s="84"/>
      <c r="BB195" s="85"/>
      <c r="BC195" s="84"/>
      <c r="BD195" s="84"/>
      <c r="BF195" s="84"/>
      <c r="BL195" s="84"/>
      <c r="BP195" s="86"/>
      <c r="BV195" s="84"/>
      <c r="CA195" s="84"/>
      <c r="CF195" s="84"/>
      <c r="CK195" s="84"/>
      <c r="CP195" s="84"/>
      <c r="CS195" s="86"/>
      <c r="CT195" s="84"/>
      <c r="CW195" s="86"/>
      <c r="CX195" s="84"/>
      <c r="DA195" s="86"/>
      <c r="DB195" s="84"/>
      <c r="DE195" s="86"/>
      <c r="DF195" s="84"/>
      <c r="DI195" s="86"/>
      <c r="DJ195" s="84"/>
      <c r="DM195" s="86"/>
      <c r="DN195" s="84"/>
      <c r="DQ195" s="86"/>
      <c r="DR195" s="85"/>
      <c r="DS195" s="85"/>
      <c r="DT195" s="84"/>
      <c r="DV195" s="84"/>
      <c r="DW195" s="157"/>
      <c r="EB195" s="84"/>
      <c r="EG195" s="84"/>
      <c r="EK195" s="84"/>
      <c r="EO195" s="84"/>
      <c r="ES195" s="84"/>
      <c r="EW195" s="84"/>
    </row>
    <row r="196" customFormat="false" ht="12.75" hidden="false" customHeight="false" outlineLevel="0" collapsed="false">
      <c r="A196" s="37"/>
      <c r="E196" s="83"/>
      <c r="J196" s="84"/>
      <c r="N196" s="84"/>
      <c r="R196" s="84"/>
      <c r="V196" s="84"/>
      <c r="Z196" s="84"/>
      <c r="AD196" s="84"/>
      <c r="AH196" s="84"/>
      <c r="AL196" s="84"/>
      <c r="AP196" s="84"/>
      <c r="AT196" s="84"/>
      <c r="AX196" s="84"/>
      <c r="BB196" s="85"/>
      <c r="BC196" s="84"/>
      <c r="BD196" s="84"/>
      <c r="BF196" s="84"/>
      <c r="BL196" s="84"/>
      <c r="BP196" s="86"/>
      <c r="BV196" s="84"/>
      <c r="CA196" s="84"/>
      <c r="CF196" s="84"/>
      <c r="CK196" s="84"/>
      <c r="CP196" s="84"/>
      <c r="CS196" s="86"/>
      <c r="CT196" s="84"/>
      <c r="CW196" s="86"/>
      <c r="CX196" s="84"/>
      <c r="DA196" s="86"/>
      <c r="DB196" s="84"/>
      <c r="DE196" s="86"/>
      <c r="DF196" s="84"/>
      <c r="DI196" s="86"/>
      <c r="DJ196" s="84"/>
      <c r="DM196" s="86"/>
      <c r="DN196" s="84"/>
      <c r="DQ196" s="86"/>
      <c r="DR196" s="85"/>
      <c r="DS196" s="85"/>
      <c r="DT196" s="84"/>
      <c r="DV196" s="84"/>
      <c r="DW196" s="157"/>
      <c r="EB196" s="84"/>
      <c r="EG196" s="84"/>
      <c r="EK196" s="84"/>
      <c r="EO196" s="84"/>
      <c r="ES196" s="84"/>
      <c r="EW196" s="84"/>
    </row>
    <row r="197" customFormat="false" ht="12.75" hidden="false" customHeight="false" outlineLevel="0" collapsed="false">
      <c r="A197" s="37"/>
      <c r="E197" s="83"/>
      <c r="J197" s="84"/>
      <c r="N197" s="84"/>
      <c r="R197" s="84"/>
      <c r="V197" s="84"/>
      <c r="Z197" s="84"/>
      <c r="AD197" s="84"/>
      <c r="AH197" s="84"/>
      <c r="AL197" s="84"/>
      <c r="AP197" s="84"/>
      <c r="AT197" s="84"/>
      <c r="AX197" s="84"/>
      <c r="BB197" s="85"/>
      <c r="BC197" s="84"/>
      <c r="BD197" s="84"/>
      <c r="BF197" s="84"/>
      <c r="BL197" s="84"/>
      <c r="BP197" s="86"/>
      <c r="BV197" s="84"/>
      <c r="CA197" s="84"/>
      <c r="CF197" s="84"/>
      <c r="CK197" s="84"/>
      <c r="CP197" s="84"/>
      <c r="CS197" s="86"/>
      <c r="CT197" s="84"/>
      <c r="CW197" s="86"/>
      <c r="CX197" s="84"/>
      <c r="DA197" s="86"/>
      <c r="DB197" s="84"/>
      <c r="DE197" s="86"/>
      <c r="DF197" s="84"/>
      <c r="DI197" s="86"/>
      <c r="DJ197" s="84"/>
      <c r="DM197" s="86"/>
      <c r="DN197" s="84"/>
      <c r="DQ197" s="86"/>
      <c r="DR197" s="85"/>
      <c r="DS197" s="85"/>
      <c r="DT197" s="84"/>
      <c r="DV197" s="84"/>
      <c r="DW197" s="157"/>
      <c r="EB197" s="84"/>
      <c r="EG197" s="84"/>
      <c r="EK197" s="84"/>
      <c r="EO197" s="84"/>
      <c r="ES197" s="84"/>
      <c r="EW197" s="84"/>
    </row>
    <row r="198" customFormat="false" ht="12.75" hidden="false" customHeight="false" outlineLevel="0" collapsed="false">
      <c r="A198" s="37"/>
      <c r="E198" s="83"/>
      <c r="J198" s="84"/>
      <c r="N198" s="84"/>
      <c r="R198" s="84"/>
      <c r="V198" s="84"/>
      <c r="Z198" s="84"/>
      <c r="AD198" s="84"/>
      <c r="AH198" s="84"/>
      <c r="AL198" s="84"/>
      <c r="AP198" s="84"/>
      <c r="AT198" s="84"/>
      <c r="AX198" s="84"/>
      <c r="BB198" s="85"/>
      <c r="BC198" s="84"/>
      <c r="BD198" s="84"/>
      <c r="BF198" s="84"/>
      <c r="BL198" s="84"/>
      <c r="BP198" s="86"/>
      <c r="BV198" s="84"/>
      <c r="CA198" s="84"/>
      <c r="CF198" s="84"/>
      <c r="CK198" s="84"/>
      <c r="CP198" s="84"/>
      <c r="CS198" s="86"/>
      <c r="CT198" s="84"/>
      <c r="CW198" s="86"/>
      <c r="CX198" s="84"/>
      <c r="DA198" s="86"/>
      <c r="DB198" s="84"/>
      <c r="DE198" s="86"/>
      <c r="DF198" s="84"/>
      <c r="DI198" s="86"/>
      <c r="DJ198" s="84"/>
      <c r="DM198" s="86"/>
      <c r="DN198" s="84"/>
      <c r="DQ198" s="86"/>
      <c r="DR198" s="85"/>
      <c r="DS198" s="85"/>
      <c r="DT198" s="84"/>
      <c r="DV198" s="84"/>
      <c r="DW198" s="157"/>
      <c r="EB198" s="84"/>
      <c r="EG198" s="84"/>
      <c r="EK198" s="84"/>
      <c r="EO198" s="84"/>
      <c r="ES198" s="84"/>
      <c r="EW198" s="84"/>
    </row>
    <row r="199" customFormat="false" ht="12.75" hidden="false" customHeight="false" outlineLevel="0" collapsed="false">
      <c r="A199" s="37"/>
      <c r="E199" s="83"/>
      <c r="J199" s="84"/>
      <c r="N199" s="84"/>
      <c r="R199" s="84"/>
      <c r="V199" s="84"/>
      <c r="Z199" s="84"/>
      <c r="AD199" s="84"/>
      <c r="AH199" s="84"/>
      <c r="AL199" s="84"/>
      <c r="AP199" s="84"/>
      <c r="AT199" s="84"/>
      <c r="AX199" s="84"/>
      <c r="BB199" s="85"/>
      <c r="BC199" s="84"/>
      <c r="BD199" s="84"/>
      <c r="BF199" s="84"/>
      <c r="BL199" s="84"/>
      <c r="BP199" s="86"/>
      <c r="BV199" s="84"/>
      <c r="CA199" s="84"/>
      <c r="CF199" s="84"/>
      <c r="CK199" s="84"/>
      <c r="CP199" s="84"/>
      <c r="CS199" s="86"/>
      <c r="CT199" s="84"/>
      <c r="CW199" s="86"/>
      <c r="CX199" s="84"/>
      <c r="DA199" s="86"/>
      <c r="DB199" s="84"/>
      <c r="DE199" s="86"/>
      <c r="DF199" s="84"/>
      <c r="DI199" s="86"/>
      <c r="DJ199" s="84"/>
      <c r="DM199" s="86"/>
      <c r="DN199" s="84"/>
      <c r="DQ199" s="86"/>
      <c r="DR199" s="85"/>
      <c r="DS199" s="85"/>
      <c r="DT199" s="84"/>
      <c r="DV199" s="84"/>
      <c r="DW199" s="157"/>
      <c r="EB199" s="84"/>
      <c r="EG199" s="84"/>
      <c r="EK199" s="84"/>
      <c r="EO199" s="84"/>
      <c r="ES199" s="84"/>
      <c r="EW199" s="84"/>
    </row>
    <row r="200" customFormat="false" ht="12.75" hidden="false" customHeight="false" outlineLevel="0" collapsed="false">
      <c r="A200" s="37"/>
      <c r="E200" s="83"/>
      <c r="J200" s="84"/>
      <c r="N200" s="84"/>
      <c r="R200" s="84"/>
      <c r="V200" s="84"/>
      <c r="Z200" s="84"/>
      <c r="AD200" s="84"/>
      <c r="AH200" s="84"/>
      <c r="AL200" s="84"/>
      <c r="AP200" s="84"/>
      <c r="AT200" s="84"/>
      <c r="AX200" s="84"/>
      <c r="BB200" s="85"/>
      <c r="BC200" s="84"/>
      <c r="BD200" s="84"/>
      <c r="BF200" s="84"/>
      <c r="BL200" s="84"/>
      <c r="BP200" s="86"/>
      <c r="BV200" s="84"/>
      <c r="CA200" s="84"/>
      <c r="CF200" s="84"/>
      <c r="CK200" s="84"/>
      <c r="CP200" s="84"/>
      <c r="CS200" s="86"/>
      <c r="CT200" s="84"/>
      <c r="CW200" s="86"/>
      <c r="CX200" s="84"/>
      <c r="DA200" s="86"/>
      <c r="DB200" s="84"/>
      <c r="DE200" s="86"/>
      <c r="DF200" s="84"/>
      <c r="DI200" s="86"/>
      <c r="DJ200" s="84"/>
      <c r="DM200" s="86"/>
      <c r="DN200" s="84"/>
      <c r="DQ200" s="86"/>
      <c r="DR200" s="85"/>
      <c r="DS200" s="85"/>
      <c r="DT200" s="84"/>
      <c r="DV200" s="84"/>
      <c r="DW200" s="157"/>
      <c r="EB200" s="84"/>
      <c r="EG200" s="84"/>
      <c r="EK200" s="84"/>
      <c r="EO200" s="84"/>
      <c r="ES200" s="84"/>
      <c r="EW200" s="84"/>
    </row>
    <row r="201" customFormat="false" ht="12.75" hidden="false" customHeight="false" outlineLevel="0" collapsed="false">
      <c r="A201" s="37"/>
      <c r="E201" s="83"/>
      <c r="J201" s="84"/>
      <c r="N201" s="84"/>
      <c r="R201" s="84"/>
      <c r="V201" s="84"/>
      <c r="Z201" s="84"/>
      <c r="AD201" s="84"/>
      <c r="AH201" s="84"/>
      <c r="AL201" s="84"/>
      <c r="AP201" s="84"/>
      <c r="AT201" s="84"/>
      <c r="AX201" s="84"/>
      <c r="BB201" s="85"/>
      <c r="BC201" s="84"/>
      <c r="BD201" s="84"/>
      <c r="BF201" s="84"/>
      <c r="BL201" s="84"/>
      <c r="BP201" s="86"/>
      <c r="BV201" s="84"/>
      <c r="CA201" s="84"/>
      <c r="CF201" s="84"/>
      <c r="CK201" s="84"/>
      <c r="CP201" s="84"/>
      <c r="CS201" s="86"/>
      <c r="CT201" s="84"/>
      <c r="CW201" s="86"/>
      <c r="CX201" s="84"/>
      <c r="DA201" s="86"/>
      <c r="DB201" s="84"/>
      <c r="DE201" s="86"/>
      <c r="DF201" s="84"/>
      <c r="DI201" s="86"/>
      <c r="DJ201" s="84"/>
      <c r="DM201" s="86"/>
      <c r="DN201" s="84"/>
      <c r="DQ201" s="86"/>
      <c r="DR201" s="85"/>
      <c r="DS201" s="85"/>
      <c r="DT201" s="84"/>
      <c r="DV201" s="84"/>
      <c r="DW201" s="157"/>
      <c r="EB201" s="84"/>
      <c r="EG201" s="84"/>
      <c r="EK201" s="84"/>
      <c r="EO201" s="84"/>
      <c r="ES201" s="84"/>
      <c r="EW201" s="84"/>
    </row>
    <row r="202" customFormat="false" ht="12.75" hidden="false" customHeight="false" outlineLevel="0" collapsed="false">
      <c r="A202" s="37"/>
      <c r="E202" s="83"/>
      <c r="J202" s="84"/>
      <c r="N202" s="84"/>
      <c r="R202" s="84"/>
      <c r="V202" s="84"/>
      <c r="Z202" s="84"/>
      <c r="AD202" s="84"/>
      <c r="AH202" s="84"/>
      <c r="AL202" s="84"/>
      <c r="AP202" s="84"/>
      <c r="AT202" s="84"/>
      <c r="AX202" s="84"/>
      <c r="BB202" s="85"/>
      <c r="BC202" s="84"/>
      <c r="BD202" s="84"/>
      <c r="BF202" s="84"/>
      <c r="BL202" s="84"/>
      <c r="BP202" s="86"/>
      <c r="BV202" s="84"/>
      <c r="CA202" s="84"/>
      <c r="CF202" s="84"/>
      <c r="CK202" s="84"/>
      <c r="CP202" s="84"/>
      <c r="CS202" s="86"/>
      <c r="CT202" s="84"/>
      <c r="CW202" s="86"/>
      <c r="CX202" s="84"/>
      <c r="DA202" s="86"/>
      <c r="DB202" s="84"/>
      <c r="DE202" s="86"/>
      <c r="DF202" s="84"/>
      <c r="DI202" s="86"/>
      <c r="DJ202" s="84"/>
      <c r="DM202" s="86"/>
      <c r="DN202" s="84"/>
      <c r="DQ202" s="86"/>
      <c r="DR202" s="85"/>
      <c r="DS202" s="85"/>
      <c r="DT202" s="84"/>
      <c r="DV202" s="84"/>
      <c r="DW202" s="157"/>
      <c r="EB202" s="84"/>
      <c r="EG202" s="84"/>
      <c r="EK202" s="84"/>
      <c r="EO202" s="84"/>
      <c r="ES202" s="84"/>
      <c r="EW202" s="84"/>
    </row>
    <row r="203" customFormat="false" ht="12.75" hidden="false" customHeight="false" outlineLevel="0" collapsed="false">
      <c r="A203" s="37"/>
      <c r="E203" s="83"/>
      <c r="J203" s="84"/>
      <c r="N203" s="84"/>
      <c r="R203" s="84"/>
      <c r="V203" s="84"/>
      <c r="Z203" s="84"/>
      <c r="AD203" s="84"/>
      <c r="AH203" s="84"/>
      <c r="AL203" s="84"/>
      <c r="AP203" s="84"/>
      <c r="AT203" s="84"/>
      <c r="AX203" s="84"/>
      <c r="BB203" s="85"/>
      <c r="BC203" s="84"/>
      <c r="BD203" s="84"/>
      <c r="BF203" s="84"/>
      <c r="BL203" s="84"/>
      <c r="BP203" s="86"/>
      <c r="BV203" s="84"/>
      <c r="CA203" s="84"/>
      <c r="CF203" s="84"/>
      <c r="CK203" s="84"/>
      <c r="CP203" s="84"/>
      <c r="CS203" s="86"/>
      <c r="CT203" s="84"/>
      <c r="CW203" s="86"/>
      <c r="CX203" s="84"/>
      <c r="DA203" s="86"/>
      <c r="DB203" s="84"/>
      <c r="DE203" s="86"/>
      <c r="DF203" s="84"/>
      <c r="DI203" s="86"/>
      <c r="DJ203" s="84"/>
      <c r="DM203" s="86"/>
      <c r="DN203" s="84"/>
      <c r="DQ203" s="86"/>
      <c r="DR203" s="85"/>
      <c r="DS203" s="85"/>
      <c r="DT203" s="84"/>
      <c r="DV203" s="84"/>
      <c r="DW203" s="157"/>
      <c r="EB203" s="84"/>
      <c r="EG203" s="84"/>
      <c r="EK203" s="84"/>
      <c r="EO203" s="84"/>
      <c r="ES203" s="84"/>
      <c r="EW203" s="84"/>
    </row>
    <row r="204" customFormat="false" ht="12.75" hidden="false" customHeight="false" outlineLevel="0" collapsed="false">
      <c r="A204" s="37"/>
      <c r="E204" s="83"/>
      <c r="J204" s="84"/>
      <c r="N204" s="84"/>
      <c r="R204" s="84"/>
      <c r="V204" s="84"/>
      <c r="Z204" s="84"/>
      <c r="AD204" s="84"/>
      <c r="AH204" s="84"/>
      <c r="AL204" s="84"/>
      <c r="AP204" s="84"/>
      <c r="AT204" s="84"/>
      <c r="AX204" s="84"/>
      <c r="BB204" s="85"/>
      <c r="BC204" s="84"/>
      <c r="BD204" s="84"/>
      <c r="BF204" s="84"/>
      <c r="BL204" s="84"/>
      <c r="BP204" s="86"/>
      <c r="BV204" s="84"/>
      <c r="CA204" s="84"/>
      <c r="CF204" s="84"/>
      <c r="CK204" s="84"/>
      <c r="CP204" s="84"/>
      <c r="CS204" s="86"/>
      <c r="CT204" s="84"/>
      <c r="CW204" s="86"/>
      <c r="CX204" s="84"/>
      <c r="DA204" s="86"/>
      <c r="DB204" s="84"/>
      <c r="DE204" s="86"/>
      <c r="DF204" s="84"/>
      <c r="DI204" s="86"/>
      <c r="DJ204" s="84"/>
      <c r="DM204" s="86"/>
      <c r="DN204" s="84"/>
      <c r="DQ204" s="86"/>
      <c r="DR204" s="85"/>
      <c r="DS204" s="85"/>
      <c r="DT204" s="84"/>
      <c r="DV204" s="84"/>
      <c r="DW204" s="157"/>
      <c r="EB204" s="84"/>
      <c r="EG204" s="84"/>
      <c r="EK204" s="84"/>
      <c r="EO204" s="84"/>
      <c r="ES204" s="84"/>
      <c r="EW204" s="84"/>
    </row>
    <row r="205" customFormat="false" ht="12.75" hidden="false" customHeight="false" outlineLevel="0" collapsed="false">
      <c r="A205" s="37"/>
      <c r="E205" s="83"/>
      <c r="J205" s="84"/>
      <c r="N205" s="84"/>
      <c r="R205" s="84"/>
      <c r="V205" s="84"/>
      <c r="Z205" s="84"/>
      <c r="AD205" s="84"/>
      <c r="AH205" s="84"/>
      <c r="AL205" s="84"/>
      <c r="AP205" s="84"/>
      <c r="AT205" s="84"/>
      <c r="AX205" s="84"/>
      <c r="BB205" s="85"/>
      <c r="BC205" s="84"/>
      <c r="BD205" s="84"/>
      <c r="BF205" s="84"/>
      <c r="BL205" s="84"/>
      <c r="BP205" s="86"/>
      <c r="BV205" s="84"/>
      <c r="CA205" s="84"/>
      <c r="CF205" s="84"/>
      <c r="CK205" s="84"/>
      <c r="CP205" s="84"/>
      <c r="CS205" s="86"/>
      <c r="CT205" s="84"/>
      <c r="CW205" s="86"/>
      <c r="CX205" s="84"/>
      <c r="DA205" s="86"/>
      <c r="DB205" s="84"/>
      <c r="DE205" s="86"/>
      <c r="DF205" s="84"/>
      <c r="DI205" s="86"/>
      <c r="DJ205" s="84"/>
      <c r="DM205" s="86"/>
      <c r="DN205" s="84"/>
      <c r="DQ205" s="86"/>
      <c r="DR205" s="85"/>
      <c r="DS205" s="85"/>
      <c r="DT205" s="84"/>
      <c r="DV205" s="84"/>
      <c r="DW205" s="157"/>
      <c r="EB205" s="84"/>
      <c r="EG205" s="84"/>
      <c r="EK205" s="84"/>
      <c r="EO205" s="84"/>
      <c r="ES205" s="84"/>
      <c r="EW205" s="84"/>
    </row>
    <row r="206" customFormat="false" ht="12.75" hidden="false" customHeight="false" outlineLevel="0" collapsed="false">
      <c r="A206" s="37"/>
      <c r="E206" s="83"/>
      <c r="J206" s="84"/>
      <c r="N206" s="84"/>
      <c r="R206" s="84"/>
      <c r="V206" s="84"/>
      <c r="Z206" s="84"/>
      <c r="AD206" s="84"/>
      <c r="AH206" s="84"/>
      <c r="AL206" s="84"/>
      <c r="AP206" s="84"/>
      <c r="AT206" s="84"/>
      <c r="AX206" s="84"/>
      <c r="BB206" s="85"/>
      <c r="BC206" s="84"/>
      <c r="BD206" s="84"/>
      <c r="BF206" s="84"/>
      <c r="BL206" s="84"/>
      <c r="BP206" s="86"/>
      <c r="BV206" s="84"/>
      <c r="CA206" s="84"/>
      <c r="CF206" s="84"/>
      <c r="CK206" s="84"/>
      <c r="CP206" s="84"/>
      <c r="CS206" s="86"/>
      <c r="CT206" s="84"/>
      <c r="CW206" s="86"/>
      <c r="CX206" s="84"/>
      <c r="DA206" s="86"/>
      <c r="DB206" s="84"/>
      <c r="DE206" s="86"/>
      <c r="DF206" s="84"/>
      <c r="DI206" s="86"/>
      <c r="DJ206" s="84"/>
      <c r="DM206" s="86"/>
      <c r="DN206" s="84"/>
      <c r="DQ206" s="86"/>
      <c r="DR206" s="85"/>
      <c r="DS206" s="85"/>
      <c r="DT206" s="84"/>
      <c r="DV206" s="84"/>
      <c r="DW206" s="157"/>
      <c r="EB206" s="84"/>
      <c r="EG206" s="84"/>
      <c r="EK206" s="84"/>
      <c r="EO206" s="84"/>
      <c r="ES206" s="84"/>
      <c r="EW206" s="84"/>
    </row>
    <row r="207" customFormat="false" ht="12.75" hidden="false" customHeight="false" outlineLevel="0" collapsed="false">
      <c r="A207" s="37"/>
      <c r="E207" s="83"/>
      <c r="J207" s="84"/>
      <c r="N207" s="84"/>
      <c r="R207" s="84"/>
      <c r="V207" s="84"/>
      <c r="Z207" s="84"/>
      <c r="AD207" s="84"/>
      <c r="AH207" s="84"/>
      <c r="AL207" s="84"/>
      <c r="AP207" s="84"/>
      <c r="AT207" s="84"/>
      <c r="AX207" s="84"/>
      <c r="BB207" s="85"/>
      <c r="BC207" s="84"/>
      <c r="BD207" s="84"/>
      <c r="BF207" s="84"/>
      <c r="BL207" s="84"/>
      <c r="BP207" s="86"/>
      <c r="BV207" s="84"/>
      <c r="CA207" s="84"/>
      <c r="CF207" s="84"/>
      <c r="CK207" s="84"/>
      <c r="CP207" s="84"/>
      <c r="CS207" s="86"/>
      <c r="CT207" s="84"/>
      <c r="CW207" s="86"/>
      <c r="CX207" s="84"/>
      <c r="DA207" s="86"/>
      <c r="DB207" s="84"/>
      <c r="DE207" s="86"/>
      <c r="DF207" s="84"/>
      <c r="DI207" s="86"/>
      <c r="DJ207" s="84"/>
      <c r="DM207" s="86"/>
      <c r="DN207" s="84"/>
      <c r="DQ207" s="86"/>
      <c r="DR207" s="85"/>
      <c r="DS207" s="85"/>
      <c r="DT207" s="84"/>
      <c r="DV207" s="84"/>
      <c r="DW207" s="157"/>
      <c r="EB207" s="84"/>
      <c r="EG207" s="84"/>
      <c r="EK207" s="84"/>
      <c r="EO207" s="84"/>
      <c r="ES207" s="84"/>
      <c r="EW207" s="84"/>
    </row>
    <row r="208" customFormat="false" ht="12.75" hidden="false" customHeight="false" outlineLevel="0" collapsed="false">
      <c r="A208" s="37"/>
      <c r="E208" s="83"/>
      <c r="J208" s="84"/>
      <c r="N208" s="84"/>
      <c r="R208" s="84"/>
      <c r="V208" s="84"/>
      <c r="Z208" s="84"/>
      <c r="AD208" s="84"/>
      <c r="AH208" s="84"/>
      <c r="AL208" s="84"/>
      <c r="AP208" s="84"/>
      <c r="AT208" s="84"/>
      <c r="AX208" s="84"/>
      <c r="BB208" s="85"/>
      <c r="BC208" s="84"/>
      <c r="BD208" s="84"/>
      <c r="BF208" s="84"/>
      <c r="BL208" s="84"/>
      <c r="BP208" s="86"/>
      <c r="BV208" s="84"/>
      <c r="CA208" s="84"/>
      <c r="CF208" s="84"/>
      <c r="CK208" s="84"/>
      <c r="CP208" s="84"/>
      <c r="CS208" s="86"/>
      <c r="CT208" s="84"/>
      <c r="CW208" s="86"/>
      <c r="CX208" s="84"/>
      <c r="DA208" s="86"/>
      <c r="DB208" s="84"/>
      <c r="DE208" s="86"/>
      <c r="DF208" s="84"/>
      <c r="DI208" s="86"/>
      <c r="DJ208" s="84"/>
      <c r="DM208" s="86"/>
      <c r="DN208" s="84"/>
      <c r="DQ208" s="86"/>
      <c r="DR208" s="85"/>
      <c r="DS208" s="85"/>
      <c r="DT208" s="84"/>
      <c r="DV208" s="84"/>
      <c r="DW208" s="157"/>
      <c r="EB208" s="84"/>
      <c r="EG208" s="84"/>
      <c r="EK208" s="84"/>
      <c r="EO208" s="84"/>
      <c r="ES208" s="84"/>
      <c r="EW208" s="84"/>
    </row>
    <row r="209" customFormat="false" ht="12.75" hidden="false" customHeight="false" outlineLevel="0" collapsed="false">
      <c r="A209" s="37"/>
      <c r="E209" s="83"/>
      <c r="J209" s="84"/>
      <c r="N209" s="84"/>
      <c r="R209" s="84"/>
      <c r="V209" s="84"/>
      <c r="Z209" s="84"/>
      <c r="AD209" s="84"/>
      <c r="AH209" s="84"/>
      <c r="AL209" s="84"/>
      <c r="AP209" s="84"/>
      <c r="AT209" s="84"/>
      <c r="AX209" s="84"/>
      <c r="BB209" s="85"/>
      <c r="BC209" s="84"/>
      <c r="BD209" s="84"/>
      <c r="BF209" s="84"/>
      <c r="BL209" s="84"/>
      <c r="BP209" s="86"/>
      <c r="BV209" s="84"/>
      <c r="CA209" s="84"/>
      <c r="CF209" s="84"/>
      <c r="CK209" s="84"/>
      <c r="CP209" s="84"/>
      <c r="CS209" s="86"/>
      <c r="CT209" s="84"/>
      <c r="CW209" s="86"/>
      <c r="CX209" s="84"/>
      <c r="DA209" s="86"/>
      <c r="DB209" s="84"/>
      <c r="DE209" s="86"/>
      <c r="DF209" s="84"/>
      <c r="DI209" s="86"/>
      <c r="DJ209" s="84"/>
      <c r="DM209" s="86"/>
      <c r="DN209" s="84"/>
      <c r="DQ209" s="86"/>
      <c r="DR209" s="85"/>
      <c r="DS209" s="85"/>
      <c r="DT209" s="84"/>
      <c r="DV209" s="84"/>
      <c r="DW209" s="157"/>
      <c r="EB209" s="84"/>
      <c r="EG209" s="84"/>
      <c r="EK209" s="84"/>
      <c r="EO209" s="84"/>
      <c r="ES209" s="84"/>
      <c r="EW209" s="84"/>
    </row>
    <row r="210" customFormat="false" ht="12.75" hidden="false" customHeight="false" outlineLevel="0" collapsed="false">
      <c r="A210" s="37"/>
      <c r="E210" s="83"/>
      <c r="J210" s="84"/>
      <c r="N210" s="84"/>
      <c r="R210" s="84"/>
      <c r="V210" s="84"/>
      <c r="Z210" s="84"/>
      <c r="AD210" s="84"/>
      <c r="AH210" s="84"/>
      <c r="AL210" s="84"/>
      <c r="AP210" s="84"/>
      <c r="AT210" s="84"/>
      <c r="AX210" s="84"/>
      <c r="BB210" s="85"/>
      <c r="BC210" s="84"/>
      <c r="BD210" s="84"/>
      <c r="BF210" s="84"/>
      <c r="BL210" s="84"/>
      <c r="BP210" s="86"/>
      <c r="BV210" s="84"/>
      <c r="CA210" s="84"/>
      <c r="CF210" s="84"/>
      <c r="CK210" s="84"/>
      <c r="CP210" s="84"/>
      <c r="CS210" s="86"/>
      <c r="CT210" s="84"/>
      <c r="CW210" s="86"/>
      <c r="CX210" s="84"/>
      <c r="DA210" s="86"/>
      <c r="DB210" s="84"/>
      <c r="DE210" s="86"/>
      <c r="DF210" s="84"/>
      <c r="DI210" s="86"/>
      <c r="DJ210" s="84"/>
      <c r="DM210" s="86"/>
      <c r="DN210" s="84"/>
      <c r="DQ210" s="86"/>
      <c r="DR210" s="85"/>
      <c r="DS210" s="85"/>
      <c r="DT210" s="84"/>
      <c r="DV210" s="84"/>
      <c r="DW210" s="157"/>
      <c r="EB210" s="84"/>
      <c r="EG210" s="84"/>
      <c r="EK210" s="84"/>
      <c r="EO210" s="84"/>
      <c r="ES210" s="84"/>
      <c r="EW210" s="84"/>
    </row>
    <row r="211" customFormat="false" ht="12.75" hidden="false" customHeight="false" outlineLevel="0" collapsed="false">
      <c r="A211" s="37"/>
      <c r="E211" s="83"/>
      <c r="J211" s="84"/>
      <c r="N211" s="84"/>
      <c r="R211" s="84"/>
      <c r="V211" s="84"/>
      <c r="Z211" s="84"/>
      <c r="AD211" s="84"/>
      <c r="AH211" s="84"/>
      <c r="AL211" s="84"/>
      <c r="AP211" s="84"/>
      <c r="AT211" s="84"/>
      <c r="AX211" s="84"/>
      <c r="BB211" s="85"/>
      <c r="BC211" s="84"/>
      <c r="BD211" s="84"/>
      <c r="BF211" s="84"/>
      <c r="BL211" s="84"/>
      <c r="BP211" s="86"/>
      <c r="BV211" s="84"/>
      <c r="CA211" s="84"/>
      <c r="CF211" s="84"/>
      <c r="CK211" s="84"/>
      <c r="CP211" s="84"/>
      <c r="CS211" s="86"/>
      <c r="CT211" s="84"/>
      <c r="CW211" s="86"/>
      <c r="CX211" s="84"/>
      <c r="DA211" s="86"/>
      <c r="DB211" s="84"/>
      <c r="DE211" s="86"/>
      <c r="DF211" s="84"/>
      <c r="DI211" s="86"/>
      <c r="DJ211" s="84"/>
      <c r="DM211" s="86"/>
      <c r="DN211" s="84"/>
      <c r="DQ211" s="86"/>
      <c r="DR211" s="85"/>
      <c r="DS211" s="85"/>
      <c r="DT211" s="84"/>
      <c r="DV211" s="84"/>
      <c r="DW211" s="157"/>
      <c r="EB211" s="84"/>
      <c r="EG211" s="84"/>
      <c r="EK211" s="84"/>
      <c r="EO211" s="84"/>
      <c r="ES211" s="84"/>
      <c r="EW211" s="84"/>
    </row>
    <row r="212" customFormat="false" ht="12.75" hidden="false" customHeight="false" outlineLevel="0" collapsed="false">
      <c r="A212" s="37"/>
      <c r="E212" s="83"/>
      <c r="J212" s="84"/>
      <c r="N212" s="84"/>
      <c r="R212" s="84"/>
      <c r="V212" s="84"/>
      <c r="Z212" s="84"/>
      <c r="AD212" s="84"/>
      <c r="AH212" s="84"/>
      <c r="AL212" s="84"/>
      <c r="AP212" s="84"/>
      <c r="AT212" s="84"/>
      <c r="AX212" s="84"/>
      <c r="BB212" s="85"/>
      <c r="BC212" s="84"/>
      <c r="BD212" s="84"/>
      <c r="BF212" s="84"/>
      <c r="BL212" s="84"/>
      <c r="BP212" s="86"/>
      <c r="BV212" s="84"/>
      <c r="CA212" s="84"/>
      <c r="CF212" s="84"/>
      <c r="CK212" s="84"/>
      <c r="CP212" s="84"/>
      <c r="CS212" s="86"/>
      <c r="CT212" s="84"/>
      <c r="CW212" s="86"/>
      <c r="CX212" s="84"/>
      <c r="DA212" s="86"/>
      <c r="DB212" s="84"/>
      <c r="DE212" s="86"/>
      <c r="DF212" s="84"/>
      <c r="DI212" s="86"/>
      <c r="DJ212" s="84"/>
      <c r="DM212" s="86"/>
      <c r="DN212" s="84"/>
      <c r="DQ212" s="86"/>
      <c r="DR212" s="85"/>
      <c r="DS212" s="85"/>
      <c r="DT212" s="84"/>
      <c r="DV212" s="84"/>
      <c r="DW212" s="157"/>
      <c r="EB212" s="84"/>
      <c r="EG212" s="84"/>
      <c r="EK212" s="84"/>
      <c r="EO212" s="84"/>
      <c r="ES212" s="84"/>
      <c r="EW212" s="84"/>
    </row>
    <row r="213" customFormat="false" ht="12.75" hidden="false" customHeight="false" outlineLevel="0" collapsed="false">
      <c r="A213" s="37"/>
      <c r="E213" s="83"/>
      <c r="J213" s="84"/>
      <c r="N213" s="84"/>
      <c r="R213" s="84"/>
      <c r="V213" s="84"/>
      <c r="Z213" s="84"/>
      <c r="AD213" s="84"/>
      <c r="AH213" s="84"/>
      <c r="AL213" s="84"/>
      <c r="AP213" s="84"/>
      <c r="AT213" s="84"/>
      <c r="AX213" s="84"/>
      <c r="BB213" s="85"/>
      <c r="BC213" s="84"/>
      <c r="BD213" s="84"/>
      <c r="BF213" s="84"/>
      <c r="BL213" s="84"/>
      <c r="BP213" s="86"/>
      <c r="BV213" s="84"/>
      <c r="CA213" s="84"/>
      <c r="CF213" s="84"/>
      <c r="CK213" s="84"/>
      <c r="CP213" s="84"/>
      <c r="CS213" s="86"/>
      <c r="CT213" s="84"/>
      <c r="CW213" s="86"/>
      <c r="CX213" s="84"/>
      <c r="DA213" s="86"/>
      <c r="DB213" s="84"/>
      <c r="DE213" s="86"/>
      <c r="DF213" s="84"/>
      <c r="DI213" s="86"/>
      <c r="DJ213" s="84"/>
      <c r="DM213" s="86"/>
      <c r="DN213" s="84"/>
      <c r="DQ213" s="86"/>
      <c r="DR213" s="85"/>
      <c r="DS213" s="85"/>
      <c r="DT213" s="84"/>
      <c r="DV213" s="84"/>
      <c r="DW213" s="157"/>
      <c r="EB213" s="84"/>
      <c r="EG213" s="84"/>
      <c r="EK213" s="84"/>
      <c r="EO213" s="84"/>
      <c r="ES213" s="84"/>
      <c r="EW213" s="84"/>
    </row>
    <row r="214" customFormat="false" ht="12.75" hidden="false" customHeight="false" outlineLevel="0" collapsed="false">
      <c r="A214" s="37"/>
      <c r="E214" s="83"/>
      <c r="J214" s="84"/>
      <c r="N214" s="84"/>
      <c r="R214" s="84"/>
      <c r="V214" s="84"/>
      <c r="Z214" s="84"/>
      <c r="AD214" s="84"/>
      <c r="AH214" s="84"/>
      <c r="AL214" s="84"/>
      <c r="AP214" s="84"/>
      <c r="AT214" s="84"/>
      <c r="AX214" s="84"/>
      <c r="BB214" s="85"/>
      <c r="BC214" s="84"/>
      <c r="BD214" s="84"/>
      <c r="BF214" s="84"/>
      <c r="BL214" s="84"/>
      <c r="BP214" s="86"/>
      <c r="BV214" s="84"/>
      <c r="CA214" s="84"/>
      <c r="CF214" s="84"/>
      <c r="CK214" s="84"/>
      <c r="CP214" s="84"/>
      <c r="CS214" s="86"/>
      <c r="CT214" s="84"/>
      <c r="CW214" s="86"/>
      <c r="CX214" s="84"/>
      <c r="DA214" s="86"/>
      <c r="DB214" s="84"/>
      <c r="DE214" s="86"/>
      <c r="DF214" s="84"/>
      <c r="DI214" s="86"/>
      <c r="DJ214" s="84"/>
      <c r="DM214" s="86"/>
      <c r="DN214" s="84"/>
      <c r="DQ214" s="86"/>
      <c r="DR214" s="85"/>
      <c r="DS214" s="85"/>
      <c r="DT214" s="84"/>
      <c r="DV214" s="84"/>
      <c r="DW214" s="157"/>
      <c r="EB214" s="84"/>
      <c r="EG214" s="84"/>
      <c r="EK214" s="84"/>
      <c r="EO214" s="84"/>
      <c r="ES214" s="84"/>
      <c r="EW214" s="84"/>
    </row>
    <row r="215" customFormat="false" ht="12.75" hidden="false" customHeight="false" outlineLevel="0" collapsed="false">
      <c r="A215" s="37"/>
      <c r="E215" s="83"/>
      <c r="J215" s="84"/>
      <c r="N215" s="84"/>
      <c r="R215" s="84"/>
      <c r="V215" s="84"/>
      <c r="Z215" s="84"/>
      <c r="AD215" s="84"/>
      <c r="AH215" s="84"/>
      <c r="AL215" s="84"/>
      <c r="AP215" s="84"/>
      <c r="AT215" s="84"/>
      <c r="AX215" s="84"/>
      <c r="BB215" s="85"/>
      <c r="BC215" s="84"/>
      <c r="BD215" s="84"/>
      <c r="BF215" s="84"/>
      <c r="BL215" s="84"/>
      <c r="BP215" s="86"/>
      <c r="BV215" s="84"/>
      <c r="CA215" s="84"/>
      <c r="CF215" s="84"/>
      <c r="CK215" s="84"/>
      <c r="CP215" s="84"/>
      <c r="CS215" s="86"/>
      <c r="CT215" s="84"/>
      <c r="CW215" s="86"/>
      <c r="CX215" s="84"/>
      <c r="DA215" s="86"/>
      <c r="DB215" s="84"/>
      <c r="DE215" s="86"/>
      <c r="DF215" s="84"/>
      <c r="DI215" s="86"/>
      <c r="DJ215" s="84"/>
      <c r="DM215" s="86"/>
      <c r="DN215" s="84"/>
      <c r="DQ215" s="86"/>
      <c r="DR215" s="85"/>
      <c r="DS215" s="85"/>
      <c r="DT215" s="84"/>
      <c r="DV215" s="84"/>
      <c r="DW215" s="157"/>
      <c r="EB215" s="84"/>
      <c r="EG215" s="84"/>
      <c r="EK215" s="84"/>
      <c r="EO215" s="84"/>
      <c r="ES215" s="84"/>
      <c r="EW215" s="84"/>
    </row>
    <row r="216" customFormat="false" ht="12.75" hidden="false" customHeight="false" outlineLevel="0" collapsed="false">
      <c r="A216" s="37"/>
      <c r="E216" s="83"/>
      <c r="J216" s="84"/>
      <c r="N216" s="84"/>
      <c r="R216" s="84"/>
      <c r="V216" s="84"/>
      <c r="Z216" s="84"/>
      <c r="AD216" s="84"/>
      <c r="AH216" s="84"/>
      <c r="AL216" s="84"/>
      <c r="AP216" s="84"/>
      <c r="AT216" s="84"/>
      <c r="AX216" s="84"/>
      <c r="BB216" s="85"/>
      <c r="BC216" s="84"/>
      <c r="BD216" s="84"/>
      <c r="BF216" s="84"/>
      <c r="BL216" s="84"/>
      <c r="BP216" s="86"/>
      <c r="BV216" s="84"/>
      <c r="CA216" s="84"/>
      <c r="CF216" s="84"/>
      <c r="CK216" s="84"/>
      <c r="CP216" s="84"/>
      <c r="CS216" s="86"/>
      <c r="CT216" s="84"/>
      <c r="CW216" s="86"/>
      <c r="CX216" s="84"/>
      <c r="DA216" s="86"/>
      <c r="DB216" s="84"/>
      <c r="DE216" s="86"/>
      <c r="DF216" s="84"/>
      <c r="DI216" s="86"/>
      <c r="DJ216" s="84"/>
      <c r="DM216" s="86"/>
      <c r="DN216" s="84"/>
      <c r="DQ216" s="86"/>
      <c r="DR216" s="85"/>
      <c r="DS216" s="85"/>
      <c r="DT216" s="84"/>
      <c r="DV216" s="84"/>
      <c r="DW216" s="157"/>
      <c r="EB216" s="84"/>
      <c r="EG216" s="84"/>
      <c r="EK216" s="84"/>
      <c r="EO216" s="84"/>
      <c r="ES216" s="84"/>
      <c r="EW216" s="84"/>
    </row>
    <row r="217" customFormat="false" ht="12.75" hidden="false" customHeight="false" outlineLevel="0" collapsed="false">
      <c r="A217" s="37"/>
      <c r="E217" s="83"/>
      <c r="J217" s="84"/>
      <c r="N217" s="84"/>
      <c r="R217" s="84"/>
      <c r="V217" s="84"/>
      <c r="Z217" s="84"/>
      <c r="AD217" s="84"/>
      <c r="AH217" s="84"/>
      <c r="AL217" s="84"/>
      <c r="AP217" s="84"/>
      <c r="AT217" s="84"/>
      <c r="AX217" s="84"/>
      <c r="BB217" s="85"/>
      <c r="BC217" s="84"/>
      <c r="BD217" s="84"/>
      <c r="BF217" s="84"/>
      <c r="BL217" s="84"/>
      <c r="BP217" s="86"/>
      <c r="BV217" s="84"/>
      <c r="CA217" s="84"/>
      <c r="CF217" s="84"/>
      <c r="CK217" s="84"/>
      <c r="CP217" s="84"/>
      <c r="CS217" s="86"/>
      <c r="CT217" s="84"/>
      <c r="CW217" s="86"/>
      <c r="CX217" s="84"/>
      <c r="DA217" s="86"/>
      <c r="DB217" s="84"/>
      <c r="DE217" s="86"/>
      <c r="DF217" s="84"/>
      <c r="DI217" s="86"/>
      <c r="DJ217" s="84"/>
      <c r="DM217" s="86"/>
      <c r="DN217" s="84"/>
      <c r="DQ217" s="86"/>
      <c r="DR217" s="85"/>
      <c r="DS217" s="85"/>
      <c r="DT217" s="84"/>
      <c r="DV217" s="84"/>
      <c r="DW217" s="157"/>
      <c r="EB217" s="84"/>
      <c r="EG217" s="84"/>
      <c r="EK217" s="84"/>
      <c r="EO217" s="84"/>
      <c r="ES217" s="84"/>
      <c r="EW217" s="84"/>
    </row>
    <row r="218" customFormat="false" ht="12.75" hidden="false" customHeight="false" outlineLevel="0" collapsed="false">
      <c r="A218" s="37"/>
      <c r="E218" s="83"/>
      <c r="J218" s="84"/>
      <c r="N218" s="84"/>
      <c r="R218" s="84"/>
      <c r="V218" s="84"/>
      <c r="Z218" s="84"/>
      <c r="AD218" s="84"/>
      <c r="AH218" s="84"/>
      <c r="AL218" s="84"/>
      <c r="AP218" s="84"/>
      <c r="AT218" s="84"/>
      <c r="AX218" s="84"/>
      <c r="BB218" s="85"/>
      <c r="BC218" s="84"/>
      <c r="BD218" s="84"/>
      <c r="BF218" s="84"/>
      <c r="BL218" s="84"/>
      <c r="BP218" s="86"/>
      <c r="BV218" s="84"/>
      <c r="CA218" s="84"/>
      <c r="CF218" s="84"/>
      <c r="CK218" s="84"/>
      <c r="CP218" s="84"/>
      <c r="CS218" s="86"/>
      <c r="CT218" s="84"/>
      <c r="CW218" s="86"/>
      <c r="CX218" s="84"/>
      <c r="DA218" s="86"/>
      <c r="DB218" s="84"/>
      <c r="DE218" s="86"/>
      <c r="DF218" s="84"/>
      <c r="DI218" s="86"/>
      <c r="DJ218" s="84"/>
      <c r="DM218" s="86"/>
      <c r="DN218" s="84"/>
      <c r="DQ218" s="86"/>
      <c r="DR218" s="85"/>
      <c r="DS218" s="85"/>
      <c r="DT218" s="84"/>
      <c r="DV218" s="84"/>
      <c r="DW218" s="157"/>
      <c r="EB218" s="84"/>
      <c r="EG218" s="84"/>
      <c r="EK218" s="84"/>
      <c r="EO218" s="84"/>
      <c r="ES218" s="84"/>
      <c r="EW218" s="84"/>
    </row>
    <row r="219" customFormat="false" ht="12.75" hidden="false" customHeight="false" outlineLevel="0" collapsed="false">
      <c r="A219" s="37"/>
      <c r="E219" s="83"/>
      <c r="J219" s="84"/>
      <c r="N219" s="84"/>
      <c r="R219" s="84"/>
      <c r="V219" s="84"/>
      <c r="Z219" s="84"/>
      <c r="AD219" s="84"/>
      <c r="AH219" s="84"/>
      <c r="AL219" s="84"/>
      <c r="AP219" s="84"/>
      <c r="AT219" s="84"/>
      <c r="AX219" s="84"/>
      <c r="BB219" s="85"/>
      <c r="BC219" s="84"/>
      <c r="BD219" s="84"/>
      <c r="BF219" s="84"/>
      <c r="BL219" s="84"/>
      <c r="BP219" s="86"/>
      <c r="BV219" s="84"/>
      <c r="CA219" s="84"/>
      <c r="CF219" s="84"/>
      <c r="CK219" s="84"/>
      <c r="CP219" s="84"/>
      <c r="CS219" s="86"/>
      <c r="CT219" s="84"/>
      <c r="CW219" s="86"/>
      <c r="CX219" s="84"/>
      <c r="DA219" s="86"/>
      <c r="DB219" s="84"/>
      <c r="DE219" s="86"/>
      <c r="DF219" s="84"/>
      <c r="DI219" s="86"/>
      <c r="DJ219" s="84"/>
      <c r="DM219" s="86"/>
      <c r="DN219" s="84"/>
      <c r="DQ219" s="86"/>
      <c r="DR219" s="85"/>
      <c r="DS219" s="85"/>
      <c r="DT219" s="84"/>
      <c r="DV219" s="84"/>
      <c r="DW219" s="157"/>
      <c r="EB219" s="84"/>
      <c r="EG219" s="84"/>
      <c r="EK219" s="84"/>
      <c r="EO219" s="84"/>
      <c r="ES219" s="84"/>
      <c r="EW219" s="84"/>
    </row>
    <row r="220" customFormat="false" ht="12.75" hidden="false" customHeight="false" outlineLevel="0" collapsed="false">
      <c r="A220" s="37"/>
      <c r="E220" s="83"/>
      <c r="J220" s="84"/>
      <c r="N220" s="84"/>
      <c r="R220" s="84"/>
      <c r="V220" s="84"/>
      <c r="Z220" s="84"/>
      <c r="AD220" s="84"/>
      <c r="AH220" s="84"/>
      <c r="AL220" s="84"/>
      <c r="AP220" s="84"/>
      <c r="AT220" s="84"/>
      <c r="AX220" s="84"/>
      <c r="BB220" s="85"/>
      <c r="BC220" s="84"/>
      <c r="BD220" s="84"/>
      <c r="BF220" s="84"/>
      <c r="BL220" s="84"/>
      <c r="BP220" s="86"/>
      <c r="BV220" s="84"/>
      <c r="CA220" s="84"/>
      <c r="CF220" s="84"/>
      <c r="CK220" s="84"/>
      <c r="CP220" s="84"/>
      <c r="CS220" s="86"/>
      <c r="CT220" s="84"/>
      <c r="CW220" s="86"/>
      <c r="CX220" s="84"/>
      <c r="DA220" s="86"/>
      <c r="DB220" s="84"/>
      <c r="DE220" s="86"/>
      <c r="DF220" s="84"/>
      <c r="DI220" s="86"/>
      <c r="DJ220" s="84"/>
      <c r="DM220" s="86"/>
      <c r="DN220" s="84"/>
      <c r="DQ220" s="86"/>
      <c r="DR220" s="85"/>
      <c r="DS220" s="85"/>
      <c r="DT220" s="84"/>
      <c r="DV220" s="84"/>
      <c r="DW220" s="157"/>
      <c r="EB220" s="84"/>
      <c r="EG220" s="84"/>
      <c r="EK220" s="84"/>
      <c r="EO220" s="84"/>
      <c r="ES220" s="84"/>
      <c r="EW220" s="84"/>
    </row>
    <row r="221" customFormat="false" ht="12.75" hidden="false" customHeight="false" outlineLevel="0" collapsed="false">
      <c r="A221" s="37"/>
      <c r="E221" s="83"/>
      <c r="J221" s="84"/>
      <c r="N221" s="84"/>
      <c r="R221" s="84"/>
      <c r="V221" s="84"/>
      <c r="Z221" s="84"/>
      <c r="AD221" s="84"/>
      <c r="AH221" s="84"/>
      <c r="AL221" s="84"/>
      <c r="AP221" s="84"/>
      <c r="AT221" s="84"/>
      <c r="AX221" s="84"/>
      <c r="BB221" s="85"/>
      <c r="BC221" s="84"/>
      <c r="BD221" s="84"/>
      <c r="BF221" s="84"/>
      <c r="BL221" s="84"/>
      <c r="BP221" s="86"/>
      <c r="BV221" s="84"/>
      <c r="CA221" s="84"/>
      <c r="CF221" s="84"/>
      <c r="CK221" s="84"/>
      <c r="CP221" s="84"/>
      <c r="CS221" s="86"/>
      <c r="CT221" s="84"/>
      <c r="CW221" s="86"/>
      <c r="CX221" s="84"/>
      <c r="DA221" s="86"/>
      <c r="DB221" s="84"/>
      <c r="DE221" s="86"/>
      <c r="DF221" s="84"/>
      <c r="DI221" s="86"/>
      <c r="DJ221" s="84"/>
      <c r="DM221" s="86"/>
      <c r="DN221" s="84"/>
      <c r="DQ221" s="86"/>
      <c r="DR221" s="85"/>
      <c r="DS221" s="85"/>
      <c r="DT221" s="84"/>
      <c r="DV221" s="84"/>
      <c r="DW221" s="157"/>
      <c r="EB221" s="84"/>
      <c r="EG221" s="84"/>
      <c r="EK221" s="84"/>
      <c r="EO221" s="84"/>
      <c r="ES221" s="84"/>
      <c r="EW221" s="84"/>
    </row>
    <row r="222" customFormat="false" ht="12.75" hidden="false" customHeight="false" outlineLevel="0" collapsed="false">
      <c r="A222" s="37"/>
      <c r="E222" s="83"/>
      <c r="J222" s="84"/>
      <c r="N222" s="84"/>
      <c r="R222" s="84"/>
      <c r="V222" s="84"/>
      <c r="Z222" s="84"/>
      <c r="AD222" s="84"/>
      <c r="AH222" s="84"/>
      <c r="AL222" s="84"/>
      <c r="AP222" s="84"/>
      <c r="AT222" s="84"/>
      <c r="AX222" s="84"/>
      <c r="BB222" s="85"/>
      <c r="BC222" s="84"/>
      <c r="BD222" s="84"/>
      <c r="BF222" s="84"/>
      <c r="BL222" s="84"/>
      <c r="BP222" s="86"/>
      <c r="BV222" s="84"/>
      <c r="CA222" s="84"/>
      <c r="CF222" s="84"/>
      <c r="CK222" s="84"/>
      <c r="CP222" s="84"/>
      <c r="CS222" s="86"/>
      <c r="CT222" s="84"/>
      <c r="CW222" s="86"/>
      <c r="CX222" s="84"/>
      <c r="DA222" s="86"/>
      <c r="DB222" s="84"/>
      <c r="DE222" s="86"/>
      <c r="DF222" s="84"/>
      <c r="DI222" s="86"/>
      <c r="DJ222" s="84"/>
      <c r="DM222" s="86"/>
      <c r="DN222" s="84"/>
      <c r="DQ222" s="86"/>
      <c r="DR222" s="85"/>
      <c r="DS222" s="85"/>
      <c r="DT222" s="84"/>
      <c r="DV222" s="84"/>
      <c r="DW222" s="157"/>
      <c r="EB222" s="84"/>
      <c r="EG222" s="84"/>
      <c r="EK222" s="84"/>
      <c r="EO222" s="84"/>
      <c r="ES222" s="84"/>
      <c r="EW222" s="84"/>
    </row>
    <row r="223" customFormat="false" ht="12.75" hidden="false" customHeight="false" outlineLevel="0" collapsed="false">
      <c r="A223" s="37"/>
      <c r="E223" s="83"/>
      <c r="J223" s="84"/>
      <c r="N223" s="84"/>
      <c r="R223" s="84"/>
      <c r="V223" s="84"/>
      <c r="Z223" s="84"/>
      <c r="AD223" s="84"/>
      <c r="AH223" s="84"/>
      <c r="AL223" s="84"/>
      <c r="AP223" s="84"/>
      <c r="AT223" s="84"/>
      <c r="AX223" s="84"/>
      <c r="BB223" s="85"/>
      <c r="BC223" s="84"/>
      <c r="BD223" s="84"/>
      <c r="BF223" s="84"/>
      <c r="BL223" s="84"/>
      <c r="BP223" s="86"/>
      <c r="BV223" s="84"/>
      <c r="CA223" s="84"/>
      <c r="CF223" s="84"/>
      <c r="CK223" s="84"/>
      <c r="CP223" s="84"/>
      <c r="CS223" s="86"/>
      <c r="CT223" s="84"/>
      <c r="CW223" s="86"/>
      <c r="CX223" s="84"/>
      <c r="DA223" s="86"/>
      <c r="DB223" s="84"/>
      <c r="DE223" s="86"/>
      <c r="DF223" s="84"/>
      <c r="DI223" s="86"/>
      <c r="DJ223" s="84"/>
      <c r="DM223" s="86"/>
      <c r="DN223" s="84"/>
      <c r="DQ223" s="86"/>
      <c r="DR223" s="85"/>
      <c r="DS223" s="85"/>
      <c r="DT223" s="84"/>
      <c r="DV223" s="84"/>
      <c r="DW223" s="157"/>
      <c r="EB223" s="84"/>
      <c r="EG223" s="84"/>
      <c r="EK223" s="84"/>
      <c r="EO223" s="84"/>
      <c r="ES223" s="84"/>
      <c r="EW223" s="84"/>
    </row>
    <row r="224" customFormat="false" ht="12.75" hidden="false" customHeight="false" outlineLevel="0" collapsed="false">
      <c r="A224" s="37"/>
      <c r="E224" s="83"/>
      <c r="J224" s="84"/>
      <c r="N224" s="84"/>
      <c r="R224" s="84"/>
      <c r="V224" s="84"/>
      <c r="Z224" s="84"/>
      <c r="AD224" s="84"/>
      <c r="AH224" s="84"/>
      <c r="AL224" s="84"/>
      <c r="AP224" s="84"/>
      <c r="AT224" s="84"/>
      <c r="AX224" s="84"/>
      <c r="BB224" s="85"/>
      <c r="BC224" s="84"/>
      <c r="BD224" s="84"/>
      <c r="BF224" s="84"/>
      <c r="BL224" s="84"/>
      <c r="BP224" s="86"/>
      <c r="BV224" s="84"/>
      <c r="CA224" s="84"/>
      <c r="CF224" s="84"/>
      <c r="CK224" s="84"/>
      <c r="CP224" s="84"/>
      <c r="CS224" s="86"/>
      <c r="CT224" s="84"/>
      <c r="CW224" s="86"/>
      <c r="CX224" s="84"/>
      <c r="DA224" s="86"/>
      <c r="DB224" s="84"/>
      <c r="DE224" s="86"/>
      <c r="DF224" s="84"/>
      <c r="DI224" s="86"/>
      <c r="DJ224" s="84"/>
      <c r="DM224" s="86"/>
      <c r="DN224" s="84"/>
      <c r="DQ224" s="86"/>
      <c r="DR224" s="85"/>
      <c r="DS224" s="85"/>
      <c r="DT224" s="84"/>
      <c r="DV224" s="84"/>
      <c r="DW224" s="157"/>
      <c r="EB224" s="84"/>
      <c r="EG224" s="84"/>
      <c r="EK224" s="84"/>
      <c r="EO224" s="84"/>
      <c r="ES224" s="84"/>
      <c r="EW224" s="84"/>
    </row>
    <row r="225" customFormat="false" ht="12.75" hidden="false" customHeight="false" outlineLevel="0" collapsed="false">
      <c r="A225" s="37"/>
      <c r="E225" s="83"/>
      <c r="J225" s="84"/>
      <c r="N225" s="84"/>
      <c r="R225" s="84"/>
      <c r="V225" s="84"/>
      <c r="Z225" s="84"/>
      <c r="AD225" s="84"/>
      <c r="AH225" s="84"/>
      <c r="AL225" s="84"/>
      <c r="AP225" s="84"/>
      <c r="AT225" s="84"/>
      <c r="AX225" s="84"/>
      <c r="BB225" s="85"/>
      <c r="BC225" s="84"/>
      <c r="BD225" s="84"/>
      <c r="BF225" s="84"/>
      <c r="BL225" s="84"/>
      <c r="BP225" s="86"/>
      <c r="BV225" s="84"/>
      <c r="CA225" s="84"/>
      <c r="CF225" s="84"/>
      <c r="CK225" s="84"/>
      <c r="CP225" s="84"/>
      <c r="CS225" s="86"/>
      <c r="CT225" s="84"/>
      <c r="CW225" s="86"/>
      <c r="CX225" s="84"/>
      <c r="DA225" s="86"/>
      <c r="DB225" s="84"/>
      <c r="DE225" s="86"/>
      <c r="DF225" s="84"/>
      <c r="DI225" s="86"/>
      <c r="DJ225" s="84"/>
      <c r="DM225" s="86"/>
      <c r="DN225" s="84"/>
      <c r="DQ225" s="86"/>
      <c r="DR225" s="85"/>
      <c r="DS225" s="85"/>
      <c r="DT225" s="84"/>
      <c r="DV225" s="84"/>
      <c r="DW225" s="157"/>
      <c r="EB225" s="84"/>
      <c r="EG225" s="84"/>
      <c r="EK225" s="84"/>
      <c r="EO225" s="84"/>
      <c r="ES225" s="84"/>
      <c r="EW225" s="84"/>
    </row>
    <row r="226" customFormat="false" ht="12.75" hidden="false" customHeight="false" outlineLevel="0" collapsed="false">
      <c r="A226" s="37"/>
      <c r="E226" s="83"/>
      <c r="J226" s="84"/>
      <c r="N226" s="84"/>
      <c r="R226" s="84"/>
      <c r="V226" s="84"/>
      <c r="Z226" s="84"/>
      <c r="AD226" s="84"/>
      <c r="AH226" s="84"/>
      <c r="AL226" s="84"/>
      <c r="AP226" s="84"/>
      <c r="AT226" s="84"/>
      <c r="AX226" s="84"/>
      <c r="BB226" s="85"/>
      <c r="BC226" s="84"/>
      <c r="BD226" s="84"/>
      <c r="BF226" s="84"/>
      <c r="BL226" s="84"/>
      <c r="BP226" s="86"/>
      <c r="BV226" s="84"/>
      <c r="CA226" s="84"/>
      <c r="CF226" s="84"/>
      <c r="CK226" s="84"/>
      <c r="CP226" s="84"/>
      <c r="CS226" s="86"/>
      <c r="CT226" s="84"/>
      <c r="CW226" s="86"/>
      <c r="CX226" s="84"/>
      <c r="DA226" s="86"/>
      <c r="DB226" s="84"/>
      <c r="DE226" s="86"/>
      <c r="DF226" s="84"/>
      <c r="DI226" s="86"/>
      <c r="DJ226" s="84"/>
      <c r="DM226" s="86"/>
      <c r="DN226" s="84"/>
      <c r="DQ226" s="86"/>
      <c r="DR226" s="85"/>
      <c r="DS226" s="85"/>
      <c r="DT226" s="84"/>
      <c r="DV226" s="84"/>
      <c r="DW226" s="157"/>
      <c r="EB226" s="84"/>
      <c r="EG226" s="84"/>
      <c r="EK226" s="84"/>
      <c r="EO226" s="84"/>
      <c r="ES226" s="84"/>
      <c r="EW226" s="84"/>
    </row>
    <row r="227" customFormat="false" ht="12.75" hidden="false" customHeight="false" outlineLevel="0" collapsed="false">
      <c r="A227" s="37"/>
      <c r="E227" s="83"/>
      <c r="J227" s="84"/>
      <c r="N227" s="84"/>
      <c r="R227" s="84"/>
      <c r="V227" s="84"/>
      <c r="Z227" s="84"/>
      <c r="AD227" s="84"/>
      <c r="AH227" s="84"/>
      <c r="AL227" s="84"/>
      <c r="AP227" s="84"/>
      <c r="AT227" s="84"/>
      <c r="AX227" s="84"/>
      <c r="BB227" s="85"/>
      <c r="BC227" s="84"/>
      <c r="BD227" s="84"/>
      <c r="BF227" s="84"/>
      <c r="BL227" s="84"/>
      <c r="BP227" s="86"/>
      <c r="BV227" s="84"/>
      <c r="CA227" s="84"/>
      <c r="CF227" s="84"/>
      <c r="CK227" s="84"/>
      <c r="CP227" s="84"/>
      <c r="CS227" s="86"/>
      <c r="CT227" s="84"/>
      <c r="CW227" s="86"/>
      <c r="CX227" s="84"/>
      <c r="DA227" s="86"/>
      <c r="DB227" s="84"/>
      <c r="DE227" s="86"/>
      <c r="DF227" s="84"/>
      <c r="DI227" s="86"/>
      <c r="DJ227" s="84"/>
      <c r="DM227" s="86"/>
      <c r="DN227" s="84"/>
      <c r="DQ227" s="86"/>
      <c r="DR227" s="85"/>
      <c r="DS227" s="85"/>
      <c r="DT227" s="84"/>
      <c r="DV227" s="84"/>
      <c r="DW227" s="157"/>
      <c r="EB227" s="84"/>
      <c r="EG227" s="84"/>
      <c r="EK227" s="84"/>
      <c r="EO227" s="84"/>
      <c r="ES227" s="84"/>
      <c r="EW227" s="84"/>
    </row>
    <row r="228" customFormat="false" ht="12.75" hidden="false" customHeight="false" outlineLevel="0" collapsed="false">
      <c r="A228" s="37"/>
      <c r="E228" s="83"/>
      <c r="J228" s="84"/>
      <c r="N228" s="84"/>
      <c r="R228" s="84"/>
      <c r="V228" s="84"/>
      <c r="Z228" s="84"/>
      <c r="AD228" s="84"/>
      <c r="AH228" s="84"/>
      <c r="AL228" s="84"/>
      <c r="AP228" s="84"/>
      <c r="AT228" s="84"/>
      <c r="AX228" s="84"/>
      <c r="BB228" s="85"/>
      <c r="BC228" s="84"/>
      <c r="BD228" s="84"/>
      <c r="BF228" s="84"/>
      <c r="BL228" s="84"/>
      <c r="BP228" s="86"/>
      <c r="BV228" s="84"/>
      <c r="CA228" s="84"/>
      <c r="CF228" s="84"/>
      <c r="CK228" s="84"/>
      <c r="CP228" s="84"/>
      <c r="CS228" s="86"/>
      <c r="CT228" s="84"/>
      <c r="CW228" s="86"/>
      <c r="CX228" s="84"/>
      <c r="DA228" s="86"/>
      <c r="DB228" s="84"/>
      <c r="DE228" s="86"/>
      <c r="DF228" s="84"/>
      <c r="DI228" s="86"/>
      <c r="DJ228" s="84"/>
      <c r="DM228" s="86"/>
      <c r="DN228" s="84"/>
      <c r="DQ228" s="86"/>
      <c r="DR228" s="85"/>
      <c r="DS228" s="85"/>
      <c r="DT228" s="84"/>
      <c r="DV228" s="84"/>
      <c r="DW228" s="157"/>
      <c r="EB228" s="84"/>
      <c r="EG228" s="84"/>
      <c r="EK228" s="84"/>
      <c r="EO228" s="84"/>
      <c r="ES228" s="84"/>
      <c r="EW228" s="84"/>
    </row>
    <row r="229" customFormat="false" ht="12.75" hidden="false" customHeight="false" outlineLevel="0" collapsed="false">
      <c r="A229" s="37"/>
      <c r="E229" s="83"/>
      <c r="J229" s="84"/>
      <c r="N229" s="84"/>
      <c r="R229" s="84"/>
      <c r="V229" s="84"/>
      <c r="Z229" s="84"/>
      <c r="AD229" s="84"/>
      <c r="AH229" s="84"/>
      <c r="AL229" s="84"/>
      <c r="AP229" s="84"/>
      <c r="AT229" s="84"/>
      <c r="AX229" s="84"/>
      <c r="BB229" s="85"/>
      <c r="BC229" s="84"/>
      <c r="BD229" s="84"/>
      <c r="BF229" s="84"/>
      <c r="BL229" s="84"/>
      <c r="BP229" s="86"/>
      <c r="BV229" s="84"/>
      <c r="CA229" s="84"/>
      <c r="CF229" s="84"/>
      <c r="CK229" s="84"/>
      <c r="CP229" s="84"/>
      <c r="CS229" s="86"/>
      <c r="CT229" s="84"/>
      <c r="CW229" s="86"/>
      <c r="CX229" s="84"/>
      <c r="DA229" s="86"/>
      <c r="DB229" s="84"/>
      <c r="DE229" s="86"/>
      <c r="DF229" s="84"/>
      <c r="DI229" s="86"/>
      <c r="DJ229" s="84"/>
      <c r="DM229" s="86"/>
      <c r="DN229" s="84"/>
      <c r="DQ229" s="86"/>
      <c r="DR229" s="85"/>
      <c r="DS229" s="85"/>
      <c r="DT229" s="84"/>
      <c r="DV229" s="84"/>
      <c r="DW229" s="157"/>
      <c r="EB229" s="84"/>
      <c r="EG229" s="84"/>
      <c r="EK229" s="84"/>
      <c r="EO229" s="84"/>
      <c r="ES229" s="84"/>
      <c r="EW229" s="84"/>
    </row>
    <row r="230" customFormat="false" ht="12.75" hidden="false" customHeight="false" outlineLevel="0" collapsed="false">
      <c r="A230" s="37"/>
      <c r="E230" s="83"/>
      <c r="J230" s="84"/>
      <c r="N230" s="84"/>
      <c r="R230" s="84"/>
      <c r="V230" s="84"/>
      <c r="Z230" s="84"/>
      <c r="AD230" s="84"/>
      <c r="AH230" s="84"/>
      <c r="AL230" s="84"/>
      <c r="AP230" s="84"/>
      <c r="AT230" s="84"/>
      <c r="AX230" s="84"/>
      <c r="BB230" s="85"/>
      <c r="BC230" s="84"/>
      <c r="BD230" s="84"/>
      <c r="BF230" s="84"/>
      <c r="BL230" s="84"/>
      <c r="BP230" s="86"/>
      <c r="BV230" s="84"/>
      <c r="CA230" s="84"/>
      <c r="CF230" s="84"/>
      <c r="CK230" s="84"/>
      <c r="CP230" s="84"/>
      <c r="CS230" s="86"/>
      <c r="CT230" s="84"/>
      <c r="CW230" s="86"/>
      <c r="CX230" s="84"/>
      <c r="DA230" s="86"/>
      <c r="DB230" s="84"/>
      <c r="DE230" s="86"/>
      <c r="DF230" s="84"/>
      <c r="DI230" s="86"/>
      <c r="DJ230" s="84"/>
      <c r="DM230" s="86"/>
      <c r="DN230" s="84"/>
      <c r="DQ230" s="86"/>
      <c r="DR230" s="85"/>
      <c r="DS230" s="85"/>
      <c r="DT230" s="84"/>
      <c r="DV230" s="84"/>
      <c r="DW230" s="157"/>
      <c r="EB230" s="84"/>
      <c r="EG230" s="84"/>
      <c r="EK230" s="84"/>
      <c r="EO230" s="84"/>
      <c r="ES230" s="84"/>
      <c r="EW230" s="84"/>
    </row>
    <row r="231" customFormat="false" ht="12.75" hidden="false" customHeight="false" outlineLevel="0" collapsed="false">
      <c r="A231" s="37"/>
      <c r="E231" s="83"/>
      <c r="J231" s="84"/>
      <c r="N231" s="84"/>
      <c r="R231" s="84"/>
      <c r="V231" s="84"/>
      <c r="Z231" s="84"/>
      <c r="AD231" s="84"/>
      <c r="AH231" s="84"/>
      <c r="AL231" s="84"/>
      <c r="AP231" s="84"/>
      <c r="AT231" s="84"/>
      <c r="AX231" s="84"/>
      <c r="BB231" s="85"/>
      <c r="BC231" s="84"/>
      <c r="BD231" s="84"/>
      <c r="BF231" s="84"/>
      <c r="BL231" s="84"/>
      <c r="BP231" s="86"/>
      <c r="BV231" s="84"/>
      <c r="CA231" s="84"/>
      <c r="CF231" s="84"/>
      <c r="CK231" s="84"/>
      <c r="CP231" s="84"/>
      <c r="CS231" s="86"/>
      <c r="CT231" s="84"/>
      <c r="CW231" s="86"/>
      <c r="CX231" s="84"/>
      <c r="DA231" s="86"/>
      <c r="DB231" s="84"/>
      <c r="DE231" s="86"/>
      <c r="DF231" s="84"/>
      <c r="DI231" s="86"/>
      <c r="DJ231" s="84"/>
      <c r="DM231" s="86"/>
      <c r="DN231" s="84"/>
      <c r="DQ231" s="86"/>
      <c r="DR231" s="85"/>
      <c r="DS231" s="85"/>
      <c r="DT231" s="84"/>
      <c r="DV231" s="84"/>
      <c r="DW231" s="157"/>
      <c r="EB231" s="84"/>
      <c r="EG231" s="84"/>
      <c r="EK231" s="84"/>
      <c r="EO231" s="84"/>
      <c r="ES231" s="84"/>
      <c r="EW231" s="84"/>
    </row>
    <row r="232" customFormat="false" ht="12.75" hidden="false" customHeight="false" outlineLevel="0" collapsed="false">
      <c r="A232" s="37"/>
      <c r="E232" s="83"/>
      <c r="J232" s="84"/>
      <c r="N232" s="84"/>
      <c r="R232" s="84"/>
      <c r="V232" s="84"/>
      <c r="Z232" s="84"/>
      <c r="AD232" s="84"/>
      <c r="AH232" s="84"/>
      <c r="AL232" s="84"/>
      <c r="AP232" s="84"/>
      <c r="AT232" s="84"/>
      <c r="AX232" s="84"/>
      <c r="BB232" s="85"/>
      <c r="BC232" s="84"/>
      <c r="BD232" s="84"/>
      <c r="BF232" s="84"/>
      <c r="BL232" s="84"/>
      <c r="BP232" s="86"/>
      <c r="BV232" s="84"/>
      <c r="CA232" s="84"/>
      <c r="CF232" s="84"/>
      <c r="CK232" s="84"/>
      <c r="CP232" s="84"/>
      <c r="CS232" s="86"/>
      <c r="CT232" s="84"/>
      <c r="CW232" s="86"/>
      <c r="CX232" s="84"/>
      <c r="DA232" s="86"/>
      <c r="DB232" s="84"/>
      <c r="DE232" s="86"/>
      <c r="DF232" s="84"/>
      <c r="DI232" s="86"/>
      <c r="DJ232" s="84"/>
      <c r="DM232" s="86"/>
      <c r="DN232" s="84"/>
      <c r="DQ232" s="86"/>
      <c r="DR232" s="85"/>
      <c r="DS232" s="85"/>
      <c r="DT232" s="84"/>
      <c r="DV232" s="84"/>
      <c r="DW232" s="157"/>
      <c r="EB232" s="84"/>
      <c r="EG232" s="84"/>
      <c r="EK232" s="84"/>
      <c r="EO232" s="84"/>
      <c r="ES232" s="84"/>
      <c r="EW232" s="84"/>
    </row>
    <row r="233" customFormat="false" ht="12.75" hidden="false" customHeight="false" outlineLevel="0" collapsed="false">
      <c r="A233" s="37"/>
      <c r="E233" s="83"/>
      <c r="J233" s="84"/>
      <c r="N233" s="84"/>
      <c r="R233" s="84"/>
      <c r="V233" s="84"/>
      <c r="Z233" s="84"/>
      <c r="AD233" s="84"/>
      <c r="AH233" s="84"/>
      <c r="AL233" s="84"/>
      <c r="AP233" s="84"/>
      <c r="AT233" s="84"/>
      <c r="AX233" s="84"/>
      <c r="BB233" s="85"/>
      <c r="BC233" s="84"/>
      <c r="BD233" s="84"/>
      <c r="BF233" s="84"/>
      <c r="BL233" s="84"/>
      <c r="BP233" s="86"/>
      <c r="BV233" s="84"/>
      <c r="CA233" s="84"/>
      <c r="CF233" s="84"/>
      <c r="CK233" s="84"/>
      <c r="CP233" s="84"/>
      <c r="CS233" s="86"/>
      <c r="CT233" s="84"/>
      <c r="CW233" s="86"/>
      <c r="CX233" s="84"/>
      <c r="DA233" s="86"/>
      <c r="DB233" s="84"/>
      <c r="DE233" s="86"/>
      <c r="DF233" s="84"/>
      <c r="DI233" s="86"/>
      <c r="DJ233" s="84"/>
      <c r="DM233" s="86"/>
      <c r="DN233" s="84"/>
      <c r="DQ233" s="86"/>
      <c r="DR233" s="85"/>
      <c r="DS233" s="85"/>
      <c r="DT233" s="84"/>
      <c r="DV233" s="84"/>
      <c r="DW233" s="157"/>
      <c r="EB233" s="84"/>
      <c r="EG233" s="84"/>
      <c r="EK233" s="84"/>
      <c r="EO233" s="84"/>
      <c r="ES233" s="84"/>
      <c r="EW233" s="84"/>
    </row>
    <row r="234" customFormat="false" ht="12.75" hidden="false" customHeight="false" outlineLevel="0" collapsed="false">
      <c r="A234" s="37"/>
      <c r="E234" s="83"/>
      <c r="J234" s="84"/>
      <c r="N234" s="84"/>
      <c r="R234" s="84"/>
      <c r="V234" s="84"/>
      <c r="Z234" s="84"/>
      <c r="AD234" s="84"/>
      <c r="AH234" s="84"/>
      <c r="AL234" s="84"/>
      <c r="AP234" s="84"/>
      <c r="AT234" s="84"/>
      <c r="AX234" s="84"/>
      <c r="BB234" s="85"/>
      <c r="BC234" s="84"/>
      <c r="BD234" s="84"/>
      <c r="BF234" s="84"/>
      <c r="BL234" s="84"/>
      <c r="BP234" s="86"/>
      <c r="BV234" s="84"/>
      <c r="CA234" s="84"/>
      <c r="CF234" s="84"/>
      <c r="CK234" s="84"/>
      <c r="CP234" s="84"/>
      <c r="CS234" s="86"/>
      <c r="CT234" s="84"/>
      <c r="CW234" s="86"/>
      <c r="CX234" s="84"/>
      <c r="DA234" s="86"/>
      <c r="DB234" s="84"/>
      <c r="DE234" s="86"/>
      <c r="DF234" s="84"/>
      <c r="DI234" s="86"/>
      <c r="DJ234" s="84"/>
      <c r="DM234" s="86"/>
      <c r="DN234" s="84"/>
      <c r="DQ234" s="86"/>
      <c r="DR234" s="85"/>
      <c r="DS234" s="85"/>
      <c r="DT234" s="84"/>
      <c r="DV234" s="84"/>
      <c r="DW234" s="157"/>
      <c r="EB234" s="84"/>
      <c r="EG234" s="84"/>
      <c r="EK234" s="84"/>
      <c r="EO234" s="84"/>
      <c r="ES234" s="84"/>
      <c r="EW234" s="84"/>
    </row>
    <row r="235" customFormat="false" ht="12.75" hidden="false" customHeight="false" outlineLevel="0" collapsed="false">
      <c r="A235" s="37"/>
      <c r="E235" s="83"/>
      <c r="J235" s="84"/>
      <c r="N235" s="84"/>
      <c r="R235" s="84"/>
      <c r="V235" s="84"/>
      <c r="Z235" s="84"/>
      <c r="AD235" s="84"/>
      <c r="AH235" s="84"/>
      <c r="AL235" s="84"/>
      <c r="AP235" s="84"/>
      <c r="AT235" s="84"/>
      <c r="AX235" s="84"/>
      <c r="BB235" s="85"/>
      <c r="BC235" s="84"/>
      <c r="BD235" s="84"/>
      <c r="BF235" s="84"/>
      <c r="BL235" s="84"/>
      <c r="BP235" s="86"/>
      <c r="BV235" s="84"/>
      <c r="CA235" s="84"/>
      <c r="CF235" s="84"/>
      <c r="CK235" s="84"/>
      <c r="CP235" s="84"/>
      <c r="CS235" s="86"/>
      <c r="CT235" s="84"/>
      <c r="CW235" s="86"/>
      <c r="CX235" s="84"/>
      <c r="DA235" s="86"/>
      <c r="DB235" s="84"/>
      <c r="DE235" s="86"/>
      <c r="DF235" s="84"/>
      <c r="DI235" s="86"/>
      <c r="DJ235" s="84"/>
      <c r="DM235" s="86"/>
      <c r="DN235" s="84"/>
      <c r="DQ235" s="86"/>
      <c r="DR235" s="85"/>
      <c r="DS235" s="85"/>
      <c r="DT235" s="84"/>
      <c r="DV235" s="84"/>
      <c r="DW235" s="157"/>
      <c r="EB235" s="84"/>
      <c r="EG235" s="84"/>
      <c r="EK235" s="84"/>
      <c r="EO235" s="84"/>
      <c r="ES235" s="84"/>
      <c r="EW235" s="84"/>
    </row>
    <row r="236" customFormat="false" ht="12.75" hidden="false" customHeight="false" outlineLevel="0" collapsed="false">
      <c r="A236" s="37"/>
      <c r="E236" s="83"/>
      <c r="J236" s="84"/>
      <c r="N236" s="84"/>
      <c r="R236" s="84"/>
      <c r="V236" s="84"/>
      <c r="Z236" s="84"/>
      <c r="AD236" s="84"/>
      <c r="AH236" s="84"/>
      <c r="AL236" s="84"/>
      <c r="AP236" s="84"/>
      <c r="AT236" s="84"/>
      <c r="AX236" s="84"/>
      <c r="BB236" s="85"/>
      <c r="BC236" s="84"/>
      <c r="BD236" s="84"/>
      <c r="BF236" s="84"/>
      <c r="BL236" s="84"/>
      <c r="BP236" s="86"/>
      <c r="BV236" s="84"/>
      <c r="CA236" s="84"/>
      <c r="CF236" s="84"/>
      <c r="CK236" s="84"/>
      <c r="CP236" s="84"/>
      <c r="CS236" s="86"/>
      <c r="CT236" s="84"/>
      <c r="CW236" s="86"/>
      <c r="CX236" s="84"/>
      <c r="DA236" s="86"/>
      <c r="DB236" s="84"/>
      <c r="DE236" s="86"/>
      <c r="DF236" s="84"/>
      <c r="DI236" s="86"/>
      <c r="DJ236" s="84"/>
      <c r="DM236" s="86"/>
      <c r="DN236" s="84"/>
      <c r="DQ236" s="86"/>
      <c r="DR236" s="85"/>
      <c r="DS236" s="85"/>
      <c r="DT236" s="84"/>
      <c r="DV236" s="84"/>
      <c r="DW236" s="157"/>
      <c r="EB236" s="84"/>
      <c r="EG236" s="84"/>
      <c r="EK236" s="84"/>
      <c r="EO236" s="84"/>
      <c r="ES236" s="84"/>
      <c r="EW236" s="84"/>
    </row>
    <row r="237" customFormat="false" ht="12.75" hidden="false" customHeight="false" outlineLevel="0" collapsed="false">
      <c r="A237" s="37"/>
      <c r="E237" s="83"/>
      <c r="J237" s="84"/>
      <c r="N237" s="84"/>
      <c r="R237" s="84"/>
      <c r="V237" s="84"/>
      <c r="Z237" s="84"/>
      <c r="AD237" s="84"/>
      <c r="AH237" s="84"/>
      <c r="AL237" s="84"/>
      <c r="AP237" s="84"/>
      <c r="AT237" s="84"/>
      <c r="AX237" s="84"/>
      <c r="BB237" s="85"/>
      <c r="BC237" s="84"/>
      <c r="BD237" s="84"/>
      <c r="BF237" s="84"/>
      <c r="BL237" s="84"/>
      <c r="BP237" s="86"/>
      <c r="BV237" s="84"/>
      <c r="CA237" s="84"/>
      <c r="CF237" s="84"/>
      <c r="CK237" s="84"/>
      <c r="CP237" s="84"/>
      <c r="CS237" s="86"/>
      <c r="CT237" s="84"/>
      <c r="CW237" s="86"/>
      <c r="CX237" s="84"/>
      <c r="DA237" s="86"/>
      <c r="DB237" s="84"/>
      <c r="DE237" s="86"/>
      <c r="DF237" s="84"/>
      <c r="DI237" s="86"/>
      <c r="DJ237" s="84"/>
      <c r="DM237" s="86"/>
      <c r="DN237" s="84"/>
      <c r="DQ237" s="86"/>
      <c r="DR237" s="85"/>
      <c r="DS237" s="85"/>
      <c r="DT237" s="84"/>
      <c r="DV237" s="84"/>
      <c r="DW237" s="157"/>
      <c r="EB237" s="84"/>
      <c r="EG237" s="84"/>
      <c r="EK237" s="84"/>
      <c r="EO237" s="84"/>
      <c r="ES237" s="84"/>
      <c r="EW237" s="84"/>
    </row>
    <row r="238" customFormat="false" ht="12.75" hidden="false" customHeight="false" outlineLevel="0" collapsed="false">
      <c r="A238" s="37"/>
      <c r="E238" s="83"/>
      <c r="J238" s="84"/>
      <c r="N238" s="84"/>
      <c r="R238" s="84"/>
      <c r="V238" s="84"/>
      <c r="Z238" s="84"/>
      <c r="AD238" s="84"/>
      <c r="AH238" s="84"/>
      <c r="AL238" s="84"/>
      <c r="AP238" s="84"/>
      <c r="AT238" s="84"/>
      <c r="AX238" s="84"/>
      <c r="BB238" s="85"/>
      <c r="BC238" s="84"/>
      <c r="BD238" s="84"/>
      <c r="BF238" s="84"/>
      <c r="BL238" s="84"/>
      <c r="BP238" s="86"/>
      <c r="BV238" s="84"/>
      <c r="CA238" s="84"/>
      <c r="CF238" s="84"/>
      <c r="CK238" s="84"/>
      <c r="CP238" s="84"/>
      <c r="CS238" s="86"/>
      <c r="CT238" s="84"/>
      <c r="CW238" s="86"/>
      <c r="CX238" s="84"/>
      <c r="DA238" s="86"/>
      <c r="DB238" s="84"/>
      <c r="DE238" s="86"/>
      <c r="DF238" s="84"/>
      <c r="DI238" s="86"/>
      <c r="DJ238" s="84"/>
      <c r="DM238" s="86"/>
      <c r="DN238" s="84"/>
      <c r="DQ238" s="86"/>
      <c r="DR238" s="85"/>
      <c r="DS238" s="85"/>
      <c r="DT238" s="84"/>
      <c r="DV238" s="84"/>
      <c r="DW238" s="157"/>
      <c r="EB238" s="84"/>
      <c r="EG238" s="84"/>
      <c r="EK238" s="84"/>
      <c r="EO238" s="84"/>
      <c r="ES238" s="84"/>
      <c r="EW238" s="84"/>
    </row>
    <row r="239" customFormat="false" ht="12.75" hidden="false" customHeight="false" outlineLevel="0" collapsed="false">
      <c r="A239" s="37"/>
      <c r="E239" s="83"/>
      <c r="J239" s="84"/>
      <c r="N239" s="84"/>
      <c r="R239" s="84"/>
      <c r="V239" s="84"/>
      <c r="Z239" s="84"/>
      <c r="AD239" s="84"/>
      <c r="AH239" s="84"/>
      <c r="AL239" s="84"/>
      <c r="AP239" s="84"/>
      <c r="AT239" s="84"/>
      <c r="AX239" s="84"/>
      <c r="BB239" s="85"/>
      <c r="BC239" s="84"/>
      <c r="BD239" s="84"/>
      <c r="BF239" s="84"/>
      <c r="BL239" s="84"/>
      <c r="BP239" s="86"/>
      <c r="BV239" s="84"/>
      <c r="CA239" s="84"/>
      <c r="CF239" s="84"/>
      <c r="CK239" s="84"/>
      <c r="CP239" s="84"/>
      <c r="CS239" s="86"/>
      <c r="CT239" s="84"/>
      <c r="CW239" s="86"/>
      <c r="CX239" s="84"/>
      <c r="DA239" s="86"/>
      <c r="DB239" s="84"/>
      <c r="DE239" s="86"/>
      <c r="DF239" s="84"/>
      <c r="DI239" s="86"/>
      <c r="DJ239" s="84"/>
      <c r="DM239" s="86"/>
      <c r="DN239" s="84"/>
      <c r="DQ239" s="86"/>
      <c r="DR239" s="85"/>
      <c r="DS239" s="85"/>
      <c r="DT239" s="84"/>
      <c r="DV239" s="84"/>
      <c r="DW239" s="157"/>
      <c r="EB239" s="84"/>
      <c r="EG239" s="84"/>
      <c r="EK239" s="84"/>
      <c r="EO239" s="84"/>
      <c r="ES239" s="84"/>
      <c r="EW239" s="84"/>
    </row>
    <row r="240" customFormat="false" ht="12.75" hidden="false" customHeight="false" outlineLevel="0" collapsed="false">
      <c r="A240" s="37"/>
      <c r="E240" s="83"/>
      <c r="J240" s="84"/>
      <c r="N240" s="84"/>
      <c r="R240" s="84"/>
      <c r="V240" s="84"/>
      <c r="Z240" s="84"/>
      <c r="AD240" s="84"/>
      <c r="AH240" s="84"/>
      <c r="AL240" s="84"/>
      <c r="AP240" s="84"/>
      <c r="AT240" s="84"/>
      <c r="AX240" s="84"/>
      <c r="BB240" s="85"/>
      <c r="BC240" s="84"/>
      <c r="BD240" s="84"/>
      <c r="BF240" s="84"/>
      <c r="BL240" s="84"/>
      <c r="BP240" s="86"/>
      <c r="BV240" s="84"/>
      <c r="CA240" s="84"/>
      <c r="CF240" s="84"/>
      <c r="CK240" s="84"/>
      <c r="CP240" s="84"/>
      <c r="CS240" s="86"/>
      <c r="CT240" s="84"/>
      <c r="CW240" s="86"/>
      <c r="CX240" s="84"/>
      <c r="DA240" s="86"/>
      <c r="DB240" s="84"/>
      <c r="DE240" s="86"/>
      <c r="DF240" s="84"/>
      <c r="DI240" s="86"/>
      <c r="DJ240" s="84"/>
      <c r="DM240" s="86"/>
      <c r="DN240" s="84"/>
      <c r="DQ240" s="86"/>
      <c r="DR240" s="85"/>
      <c r="DS240" s="85"/>
      <c r="DT240" s="84"/>
      <c r="DV240" s="84"/>
      <c r="DW240" s="157"/>
      <c r="EB240" s="84"/>
      <c r="EG240" s="84"/>
      <c r="EK240" s="84"/>
      <c r="EO240" s="84"/>
      <c r="ES240" s="84"/>
      <c r="EW240" s="84"/>
    </row>
    <row r="241" customFormat="false" ht="12.75" hidden="false" customHeight="false" outlineLevel="0" collapsed="false">
      <c r="A241" s="37"/>
      <c r="E241" s="83"/>
      <c r="J241" s="84"/>
      <c r="N241" s="84"/>
      <c r="R241" s="84"/>
      <c r="V241" s="84"/>
      <c r="Z241" s="84"/>
      <c r="AD241" s="84"/>
      <c r="AH241" s="84"/>
      <c r="AL241" s="84"/>
      <c r="AP241" s="84"/>
      <c r="AT241" s="84"/>
      <c r="AX241" s="84"/>
      <c r="BB241" s="85"/>
      <c r="BC241" s="84"/>
      <c r="BD241" s="84"/>
      <c r="BF241" s="84"/>
      <c r="BL241" s="84"/>
      <c r="BP241" s="86"/>
      <c r="BV241" s="84"/>
      <c r="CA241" s="84"/>
      <c r="CF241" s="84"/>
      <c r="CK241" s="84"/>
      <c r="CP241" s="84"/>
      <c r="CS241" s="86"/>
      <c r="CT241" s="84"/>
      <c r="CW241" s="86"/>
      <c r="CX241" s="84"/>
      <c r="DA241" s="86"/>
      <c r="DB241" s="84"/>
      <c r="DE241" s="86"/>
      <c r="DF241" s="84"/>
      <c r="DI241" s="86"/>
      <c r="DJ241" s="84"/>
      <c r="DM241" s="86"/>
      <c r="DN241" s="84"/>
      <c r="DQ241" s="86"/>
      <c r="DR241" s="85"/>
      <c r="DS241" s="85"/>
      <c r="DT241" s="84"/>
      <c r="DV241" s="84"/>
      <c r="DW241" s="157"/>
      <c r="EB241" s="84"/>
      <c r="EG241" s="84"/>
      <c r="EK241" s="84"/>
      <c r="EO241" s="84"/>
      <c r="ES241" s="84"/>
      <c r="EW241" s="84"/>
    </row>
    <row r="242" customFormat="false" ht="12.75" hidden="false" customHeight="false" outlineLevel="0" collapsed="false">
      <c r="A242" s="37"/>
      <c r="E242" s="83"/>
      <c r="J242" s="84"/>
      <c r="N242" s="84"/>
      <c r="R242" s="84"/>
      <c r="V242" s="84"/>
      <c r="Z242" s="84"/>
      <c r="AD242" s="84"/>
      <c r="AH242" s="84"/>
      <c r="AL242" s="84"/>
      <c r="AP242" s="84"/>
      <c r="AT242" s="84"/>
      <c r="AX242" s="84"/>
      <c r="BB242" s="85"/>
      <c r="BC242" s="84"/>
      <c r="BD242" s="84"/>
      <c r="BF242" s="84"/>
      <c r="BL242" s="84"/>
      <c r="BP242" s="86"/>
      <c r="BV242" s="84"/>
      <c r="CA242" s="84"/>
      <c r="CF242" s="84"/>
      <c r="CK242" s="84"/>
      <c r="CP242" s="84"/>
      <c r="CS242" s="86"/>
      <c r="CT242" s="84"/>
      <c r="CW242" s="86"/>
      <c r="CX242" s="84"/>
      <c r="DA242" s="86"/>
      <c r="DB242" s="84"/>
      <c r="DE242" s="86"/>
      <c r="DF242" s="84"/>
      <c r="DI242" s="86"/>
      <c r="DJ242" s="84"/>
      <c r="DM242" s="86"/>
      <c r="DN242" s="84"/>
      <c r="DQ242" s="86"/>
      <c r="DR242" s="85"/>
      <c r="DS242" s="85"/>
      <c r="DT242" s="84"/>
      <c r="DV242" s="84"/>
      <c r="DW242" s="157"/>
      <c r="EB242" s="84"/>
      <c r="EG242" s="84"/>
      <c r="EK242" s="84"/>
      <c r="EO242" s="84"/>
      <c r="ES242" s="84"/>
      <c r="EW242" s="84"/>
    </row>
    <row r="243" customFormat="false" ht="12.75" hidden="false" customHeight="false" outlineLevel="0" collapsed="false">
      <c r="A243" s="37"/>
      <c r="E243" s="83"/>
      <c r="J243" s="84"/>
      <c r="N243" s="84"/>
      <c r="R243" s="84"/>
      <c r="V243" s="84"/>
      <c r="Z243" s="84"/>
      <c r="AD243" s="84"/>
      <c r="AH243" s="84"/>
      <c r="AL243" s="84"/>
      <c r="AP243" s="84"/>
      <c r="AT243" s="84"/>
      <c r="AX243" s="84"/>
      <c r="BB243" s="85"/>
      <c r="BC243" s="84"/>
      <c r="BD243" s="84"/>
      <c r="BF243" s="84"/>
      <c r="BL243" s="84"/>
      <c r="BP243" s="86"/>
      <c r="BV243" s="84"/>
      <c r="CA243" s="84"/>
      <c r="CF243" s="84"/>
      <c r="CK243" s="84"/>
      <c r="CP243" s="84"/>
      <c r="CS243" s="86"/>
      <c r="CT243" s="84"/>
      <c r="CW243" s="86"/>
      <c r="CX243" s="84"/>
      <c r="DA243" s="86"/>
      <c r="DB243" s="84"/>
      <c r="DE243" s="86"/>
      <c r="DF243" s="84"/>
      <c r="DI243" s="86"/>
      <c r="DJ243" s="84"/>
      <c r="DM243" s="86"/>
      <c r="DN243" s="84"/>
      <c r="DQ243" s="86"/>
      <c r="DR243" s="85"/>
      <c r="DS243" s="85"/>
      <c r="DT243" s="84"/>
      <c r="DV243" s="84"/>
      <c r="DW243" s="157"/>
      <c r="EB243" s="84"/>
      <c r="EG243" s="84"/>
      <c r="EK243" s="84"/>
      <c r="EO243" s="84"/>
      <c r="ES243" s="84"/>
      <c r="EW243" s="84"/>
    </row>
    <row r="244" customFormat="false" ht="12.75" hidden="false" customHeight="false" outlineLevel="0" collapsed="false">
      <c r="A244" s="37"/>
      <c r="E244" s="83"/>
      <c r="J244" s="84"/>
      <c r="N244" s="84"/>
      <c r="R244" s="84"/>
      <c r="V244" s="84"/>
      <c r="Z244" s="84"/>
      <c r="AD244" s="84"/>
      <c r="AH244" s="84"/>
      <c r="AL244" s="84"/>
      <c r="AP244" s="84"/>
      <c r="AT244" s="84"/>
      <c r="AX244" s="84"/>
      <c r="BB244" s="85"/>
      <c r="BC244" s="84"/>
      <c r="BD244" s="84"/>
      <c r="BF244" s="84"/>
      <c r="BL244" s="84"/>
      <c r="BP244" s="86"/>
      <c r="BV244" s="84"/>
      <c r="CA244" s="84"/>
      <c r="CF244" s="84"/>
      <c r="CK244" s="84"/>
      <c r="CP244" s="84"/>
      <c r="CS244" s="86"/>
      <c r="CT244" s="84"/>
      <c r="CW244" s="86"/>
      <c r="CX244" s="84"/>
      <c r="DA244" s="86"/>
      <c r="DB244" s="84"/>
      <c r="DE244" s="86"/>
      <c r="DF244" s="84"/>
      <c r="DI244" s="86"/>
      <c r="DJ244" s="84"/>
      <c r="DM244" s="86"/>
      <c r="DN244" s="84"/>
      <c r="DQ244" s="86"/>
      <c r="DR244" s="85"/>
      <c r="DS244" s="85"/>
      <c r="DT244" s="84"/>
      <c r="DV244" s="84"/>
      <c r="DW244" s="157"/>
      <c r="EB244" s="84"/>
      <c r="EG244" s="84"/>
      <c r="EK244" s="84"/>
      <c r="EO244" s="84"/>
      <c r="ES244" s="84"/>
      <c r="EW244" s="84"/>
    </row>
    <row r="245" customFormat="false" ht="12.75" hidden="false" customHeight="false" outlineLevel="0" collapsed="false">
      <c r="A245" s="37"/>
      <c r="E245" s="83"/>
      <c r="J245" s="84"/>
      <c r="N245" s="84"/>
      <c r="R245" s="84"/>
      <c r="V245" s="84"/>
      <c r="Z245" s="84"/>
      <c r="AD245" s="84"/>
      <c r="AH245" s="84"/>
      <c r="AL245" s="84"/>
      <c r="AP245" s="84"/>
      <c r="AT245" s="84"/>
      <c r="AX245" s="84"/>
      <c r="BB245" s="85"/>
      <c r="BC245" s="84"/>
      <c r="BD245" s="84"/>
      <c r="BF245" s="84"/>
      <c r="BL245" s="84"/>
      <c r="BP245" s="86"/>
      <c r="BV245" s="84"/>
      <c r="CA245" s="84"/>
      <c r="CF245" s="84"/>
      <c r="CK245" s="84"/>
      <c r="CP245" s="84"/>
      <c r="CS245" s="86"/>
      <c r="CT245" s="84"/>
      <c r="CW245" s="86"/>
      <c r="CX245" s="84"/>
      <c r="DA245" s="86"/>
      <c r="DB245" s="84"/>
      <c r="DE245" s="86"/>
      <c r="DF245" s="84"/>
      <c r="DI245" s="86"/>
      <c r="DJ245" s="84"/>
      <c r="DM245" s="86"/>
      <c r="DN245" s="84"/>
      <c r="DQ245" s="86"/>
      <c r="DR245" s="85"/>
      <c r="DS245" s="85"/>
      <c r="DT245" s="84"/>
      <c r="DV245" s="84"/>
      <c r="DW245" s="157"/>
      <c r="EB245" s="84"/>
      <c r="EG245" s="84"/>
      <c r="EK245" s="84"/>
      <c r="EO245" s="84"/>
      <c r="ES245" s="84"/>
      <c r="EW245" s="84"/>
    </row>
    <row r="246" customFormat="false" ht="12.75" hidden="false" customHeight="false" outlineLevel="0" collapsed="false">
      <c r="A246" s="37"/>
      <c r="E246" s="83"/>
      <c r="J246" s="84"/>
      <c r="N246" s="84"/>
      <c r="R246" s="84"/>
      <c r="V246" s="84"/>
      <c r="Z246" s="84"/>
      <c r="AD246" s="84"/>
      <c r="AH246" s="84"/>
      <c r="AL246" s="84"/>
      <c r="AP246" s="84"/>
      <c r="AT246" s="84"/>
      <c r="AX246" s="84"/>
      <c r="BB246" s="85"/>
      <c r="BC246" s="84"/>
      <c r="BD246" s="84"/>
      <c r="BF246" s="84"/>
      <c r="BL246" s="84"/>
      <c r="BP246" s="86"/>
      <c r="BV246" s="84"/>
      <c r="CA246" s="84"/>
      <c r="CF246" s="84"/>
      <c r="CK246" s="84"/>
      <c r="CP246" s="84"/>
      <c r="CS246" s="86"/>
      <c r="CT246" s="84"/>
      <c r="CW246" s="86"/>
      <c r="CX246" s="84"/>
      <c r="DA246" s="86"/>
      <c r="DB246" s="84"/>
      <c r="DE246" s="86"/>
      <c r="DF246" s="84"/>
      <c r="DI246" s="86"/>
      <c r="DJ246" s="84"/>
      <c r="DM246" s="86"/>
      <c r="DN246" s="84"/>
      <c r="DQ246" s="86"/>
      <c r="DR246" s="85"/>
      <c r="DS246" s="85"/>
      <c r="DT246" s="84"/>
      <c r="DV246" s="84"/>
      <c r="DW246" s="157"/>
      <c r="EB246" s="84"/>
      <c r="EG246" s="84"/>
      <c r="EK246" s="84"/>
      <c r="EO246" s="84"/>
      <c r="ES246" s="84"/>
      <c r="EW246" s="84"/>
    </row>
    <row r="247" customFormat="false" ht="12.75" hidden="false" customHeight="false" outlineLevel="0" collapsed="false">
      <c r="A247" s="37"/>
      <c r="E247" s="83"/>
      <c r="J247" s="84"/>
      <c r="N247" s="84"/>
      <c r="R247" s="84"/>
      <c r="V247" s="84"/>
      <c r="Z247" s="84"/>
      <c r="AD247" s="84"/>
      <c r="AH247" s="84"/>
      <c r="AL247" s="84"/>
      <c r="AP247" s="84"/>
      <c r="AT247" s="84"/>
      <c r="AX247" s="84"/>
      <c r="BB247" s="85"/>
      <c r="BC247" s="84"/>
      <c r="BD247" s="84"/>
      <c r="BF247" s="84"/>
      <c r="BL247" s="84"/>
      <c r="BP247" s="86"/>
      <c r="BV247" s="84"/>
      <c r="CA247" s="84"/>
      <c r="CF247" s="84"/>
      <c r="CK247" s="84"/>
      <c r="CP247" s="84"/>
      <c r="CS247" s="86"/>
      <c r="CT247" s="84"/>
      <c r="CW247" s="86"/>
      <c r="CX247" s="84"/>
      <c r="DA247" s="86"/>
      <c r="DB247" s="84"/>
      <c r="DE247" s="86"/>
      <c r="DF247" s="84"/>
      <c r="DI247" s="86"/>
      <c r="DJ247" s="84"/>
      <c r="DM247" s="86"/>
      <c r="DN247" s="84"/>
      <c r="DQ247" s="86"/>
      <c r="DR247" s="85"/>
      <c r="DS247" s="85"/>
      <c r="DT247" s="84"/>
      <c r="DV247" s="84"/>
      <c r="DW247" s="157"/>
      <c r="EB247" s="84"/>
      <c r="EG247" s="84"/>
      <c r="EK247" s="84"/>
      <c r="EO247" s="84"/>
      <c r="ES247" s="84"/>
      <c r="EW247" s="84"/>
    </row>
    <row r="248" customFormat="false" ht="12.75" hidden="false" customHeight="false" outlineLevel="0" collapsed="false">
      <c r="A248" s="37"/>
      <c r="E248" s="83"/>
      <c r="J248" s="84"/>
      <c r="N248" s="84"/>
      <c r="R248" s="84"/>
      <c r="V248" s="84"/>
      <c r="Z248" s="84"/>
      <c r="AD248" s="84"/>
      <c r="AH248" s="84"/>
      <c r="AL248" s="84"/>
      <c r="AP248" s="84"/>
      <c r="AT248" s="84"/>
      <c r="AX248" s="84"/>
      <c r="BB248" s="85"/>
      <c r="BC248" s="84"/>
      <c r="BD248" s="84"/>
      <c r="BF248" s="84"/>
      <c r="BL248" s="84"/>
      <c r="BP248" s="86"/>
      <c r="BV248" s="84"/>
      <c r="CA248" s="84"/>
      <c r="CF248" s="84"/>
      <c r="CK248" s="84"/>
      <c r="CP248" s="84"/>
      <c r="CS248" s="86"/>
      <c r="CT248" s="84"/>
      <c r="CW248" s="86"/>
      <c r="CX248" s="84"/>
      <c r="DA248" s="86"/>
      <c r="DB248" s="84"/>
      <c r="DE248" s="86"/>
      <c r="DF248" s="84"/>
      <c r="DI248" s="86"/>
      <c r="DJ248" s="84"/>
      <c r="DM248" s="86"/>
      <c r="DN248" s="84"/>
      <c r="DQ248" s="86"/>
      <c r="DR248" s="85"/>
      <c r="DS248" s="85"/>
      <c r="DT248" s="84"/>
      <c r="DV248" s="84"/>
      <c r="DW248" s="157"/>
      <c r="EB248" s="84"/>
      <c r="EG248" s="84"/>
      <c r="EK248" s="84"/>
      <c r="EO248" s="84"/>
      <c r="ES248" s="84"/>
      <c r="EW248" s="84"/>
    </row>
    <row r="249" customFormat="false" ht="12.75" hidden="false" customHeight="false" outlineLevel="0" collapsed="false">
      <c r="A249" s="37"/>
      <c r="E249" s="83"/>
      <c r="J249" s="84"/>
      <c r="N249" s="84"/>
      <c r="R249" s="84"/>
      <c r="V249" s="84"/>
      <c r="Z249" s="84"/>
      <c r="AD249" s="84"/>
      <c r="AH249" s="84"/>
      <c r="AL249" s="84"/>
      <c r="AP249" s="84"/>
      <c r="AT249" s="84"/>
      <c r="AX249" s="84"/>
      <c r="BB249" s="85"/>
      <c r="BC249" s="84"/>
      <c r="BD249" s="84"/>
      <c r="BF249" s="84"/>
      <c r="BL249" s="84"/>
      <c r="BP249" s="86"/>
      <c r="BV249" s="84"/>
      <c r="CA249" s="84"/>
      <c r="CF249" s="84"/>
      <c r="CK249" s="84"/>
      <c r="CP249" s="84"/>
      <c r="CS249" s="86"/>
      <c r="CT249" s="84"/>
      <c r="CW249" s="86"/>
      <c r="CX249" s="84"/>
      <c r="DA249" s="86"/>
      <c r="DB249" s="84"/>
      <c r="DE249" s="86"/>
      <c r="DF249" s="84"/>
      <c r="DI249" s="86"/>
      <c r="DJ249" s="84"/>
      <c r="DM249" s="86"/>
      <c r="DN249" s="84"/>
      <c r="DQ249" s="86"/>
      <c r="DR249" s="85"/>
      <c r="DS249" s="85"/>
      <c r="DT249" s="84"/>
      <c r="DV249" s="84"/>
      <c r="DW249" s="157"/>
      <c r="EB249" s="84"/>
      <c r="EG249" s="84"/>
      <c r="EK249" s="84"/>
      <c r="EO249" s="84"/>
      <c r="ES249" s="84"/>
      <c r="EW249" s="84"/>
    </row>
    <row r="250" customFormat="false" ht="12.75" hidden="false" customHeight="false" outlineLevel="0" collapsed="false">
      <c r="A250" s="37"/>
      <c r="E250" s="83"/>
      <c r="J250" s="84"/>
      <c r="N250" s="84"/>
      <c r="R250" s="84"/>
      <c r="V250" s="84"/>
      <c r="Z250" s="84"/>
      <c r="AD250" s="84"/>
      <c r="AH250" s="84"/>
      <c r="AL250" s="84"/>
      <c r="AP250" s="84"/>
      <c r="AT250" s="84"/>
      <c r="AX250" s="84"/>
      <c r="BB250" s="85"/>
      <c r="BC250" s="84"/>
      <c r="BD250" s="84"/>
      <c r="BF250" s="84"/>
      <c r="BL250" s="84"/>
      <c r="BP250" s="86"/>
      <c r="BV250" s="84"/>
      <c r="CA250" s="84"/>
      <c r="CF250" s="84"/>
      <c r="CK250" s="84"/>
      <c r="CP250" s="84"/>
      <c r="CS250" s="86"/>
      <c r="CT250" s="84"/>
      <c r="CW250" s="86"/>
      <c r="CX250" s="84"/>
      <c r="DA250" s="86"/>
      <c r="DB250" s="84"/>
      <c r="DE250" s="86"/>
      <c r="DF250" s="84"/>
      <c r="DI250" s="86"/>
      <c r="DJ250" s="84"/>
      <c r="DM250" s="86"/>
      <c r="DN250" s="84"/>
      <c r="DQ250" s="86"/>
      <c r="DR250" s="85"/>
      <c r="DS250" s="85"/>
      <c r="DT250" s="84"/>
      <c r="DV250" s="84"/>
      <c r="DW250" s="157"/>
      <c r="EB250" s="84"/>
      <c r="EG250" s="84"/>
      <c r="EK250" s="84"/>
      <c r="EO250" s="84"/>
      <c r="ES250" s="84"/>
      <c r="EW250" s="84"/>
    </row>
    <row r="251" customFormat="false" ht="12.75" hidden="false" customHeight="false" outlineLevel="0" collapsed="false">
      <c r="A251" s="37"/>
      <c r="E251" s="83"/>
      <c r="J251" s="84"/>
      <c r="N251" s="84"/>
      <c r="R251" s="84"/>
      <c r="V251" s="84"/>
      <c r="Z251" s="84"/>
      <c r="AD251" s="84"/>
      <c r="AH251" s="84"/>
      <c r="AL251" s="84"/>
      <c r="AP251" s="84"/>
      <c r="AT251" s="84"/>
      <c r="AX251" s="84"/>
      <c r="BB251" s="85"/>
      <c r="BC251" s="84"/>
      <c r="BD251" s="84"/>
      <c r="BF251" s="84"/>
      <c r="BL251" s="84"/>
      <c r="BP251" s="86"/>
      <c r="BV251" s="84"/>
      <c r="CA251" s="84"/>
      <c r="CF251" s="84"/>
      <c r="CK251" s="84"/>
      <c r="CP251" s="84"/>
      <c r="CS251" s="86"/>
      <c r="CT251" s="84"/>
      <c r="CW251" s="86"/>
      <c r="CX251" s="84"/>
      <c r="DA251" s="86"/>
      <c r="DB251" s="84"/>
      <c r="DE251" s="86"/>
      <c r="DF251" s="84"/>
      <c r="DI251" s="86"/>
      <c r="DJ251" s="84"/>
      <c r="DM251" s="86"/>
      <c r="DN251" s="84"/>
      <c r="DQ251" s="86"/>
      <c r="DR251" s="85"/>
      <c r="DS251" s="85"/>
      <c r="DT251" s="84"/>
      <c r="DV251" s="84"/>
      <c r="DW251" s="157"/>
      <c r="EB251" s="84"/>
      <c r="EG251" s="84"/>
      <c r="EK251" s="84"/>
      <c r="EO251" s="84"/>
      <c r="ES251" s="84"/>
      <c r="EW251" s="84"/>
    </row>
    <row r="252" customFormat="false" ht="12.75" hidden="false" customHeight="false" outlineLevel="0" collapsed="false">
      <c r="A252" s="37"/>
      <c r="E252" s="83"/>
      <c r="J252" s="84"/>
      <c r="N252" s="84"/>
      <c r="R252" s="84"/>
      <c r="V252" s="84"/>
      <c r="Z252" s="84"/>
      <c r="AD252" s="84"/>
      <c r="AH252" s="84"/>
      <c r="AL252" s="84"/>
      <c r="AP252" s="84"/>
      <c r="AT252" s="84"/>
      <c r="AX252" s="84"/>
      <c r="BB252" s="85"/>
      <c r="BC252" s="84"/>
      <c r="BD252" s="84"/>
      <c r="BF252" s="84"/>
      <c r="BL252" s="84"/>
      <c r="BP252" s="86"/>
      <c r="BV252" s="84"/>
      <c r="CA252" s="84"/>
      <c r="CF252" s="84"/>
      <c r="CK252" s="84"/>
      <c r="CP252" s="84"/>
      <c r="CS252" s="86"/>
      <c r="CT252" s="84"/>
      <c r="CW252" s="86"/>
      <c r="CX252" s="84"/>
      <c r="DA252" s="86"/>
      <c r="DB252" s="84"/>
      <c r="DE252" s="86"/>
      <c r="DF252" s="84"/>
      <c r="DI252" s="86"/>
      <c r="DJ252" s="84"/>
      <c r="DM252" s="86"/>
      <c r="DN252" s="84"/>
      <c r="DQ252" s="86"/>
      <c r="DR252" s="85"/>
      <c r="DS252" s="85"/>
      <c r="DT252" s="84"/>
      <c r="DV252" s="84"/>
      <c r="DW252" s="157"/>
      <c r="EB252" s="84"/>
      <c r="EG252" s="84"/>
      <c r="EK252" s="84"/>
      <c r="EO252" s="84"/>
      <c r="ES252" s="84"/>
      <c r="EW252" s="84"/>
    </row>
    <row r="253" customFormat="false" ht="12.75" hidden="false" customHeight="false" outlineLevel="0" collapsed="false">
      <c r="A253" s="37"/>
      <c r="E253" s="83"/>
      <c r="J253" s="84"/>
      <c r="N253" s="84"/>
      <c r="R253" s="84"/>
      <c r="V253" s="84"/>
      <c r="Z253" s="84"/>
      <c r="AD253" s="84"/>
      <c r="AH253" s="84"/>
      <c r="AL253" s="84"/>
      <c r="AP253" s="84"/>
      <c r="AT253" s="84"/>
      <c r="AX253" s="84"/>
      <c r="BB253" s="85"/>
      <c r="BC253" s="84"/>
      <c r="BD253" s="84"/>
      <c r="BF253" s="84"/>
      <c r="BL253" s="84"/>
      <c r="BP253" s="86"/>
      <c r="BV253" s="84"/>
      <c r="CA253" s="84"/>
      <c r="CF253" s="84"/>
      <c r="CK253" s="84"/>
      <c r="CP253" s="84"/>
      <c r="CS253" s="86"/>
      <c r="CT253" s="84"/>
      <c r="CW253" s="86"/>
      <c r="CX253" s="84"/>
      <c r="DA253" s="86"/>
      <c r="DB253" s="84"/>
      <c r="DE253" s="86"/>
      <c r="DF253" s="84"/>
      <c r="DI253" s="86"/>
      <c r="DJ253" s="84"/>
      <c r="DM253" s="86"/>
      <c r="DN253" s="84"/>
      <c r="DQ253" s="86"/>
      <c r="DR253" s="85"/>
      <c r="DS253" s="85"/>
      <c r="DT253" s="84"/>
      <c r="DV253" s="84"/>
      <c r="DW253" s="157"/>
      <c r="EB253" s="84"/>
      <c r="EG253" s="84"/>
      <c r="EK253" s="84"/>
      <c r="EO253" s="84"/>
      <c r="ES253" s="84"/>
      <c r="EW253" s="84"/>
    </row>
    <row r="254" customFormat="false" ht="12.75" hidden="false" customHeight="false" outlineLevel="0" collapsed="false">
      <c r="A254" s="37"/>
      <c r="E254" s="83"/>
      <c r="J254" s="84"/>
      <c r="N254" s="84"/>
      <c r="R254" s="84"/>
      <c r="V254" s="84"/>
      <c r="Z254" s="84"/>
      <c r="AD254" s="84"/>
      <c r="AH254" s="84"/>
      <c r="AL254" s="84"/>
      <c r="AP254" s="84"/>
      <c r="AT254" s="84"/>
      <c r="AX254" s="84"/>
      <c r="BB254" s="85"/>
      <c r="BC254" s="84"/>
      <c r="BD254" s="84"/>
      <c r="BF254" s="84"/>
      <c r="BL254" s="84"/>
      <c r="BP254" s="86"/>
      <c r="BV254" s="84"/>
      <c r="CA254" s="84"/>
      <c r="CF254" s="84"/>
      <c r="CK254" s="84"/>
      <c r="CP254" s="84"/>
      <c r="CS254" s="86"/>
      <c r="CT254" s="84"/>
      <c r="CW254" s="86"/>
      <c r="CX254" s="84"/>
      <c r="DA254" s="86"/>
      <c r="DB254" s="84"/>
      <c r="DE254" s="86"/>
      <c r="DF254" s="84"/>
      <c r="DI254" s="86"/>
      <c r="DJ254" s="84"/>
      <c r="DM254" s="86"/>
      <c r="DN254" s="84"/>
      <c r="DQ254" s="86"/>
      <c r="DR254" s="85"/>
      <c r="DS254" s="85"/>
      <c r="DT254" s="84"/>
      <c r="DV254" s="84"/>
      <c r="DW254" s="157"/>
      <c r="EB254" s="84"/>
      <c r="EG254" s="84"/>
      <c r="EK254" s="84"/>
      <c r="EO254" s="84"/>
      <c r="ES254" s="84"/>
      <c r="EW254" s="84"/>
    </row>
    <row r="255" customFormat="false" ht="12.75" hidden="false" customHeight="false" outlineLevel="0" collapsed="false">
      <c r="A255" s="37"/>
      <c r="E255" s="83"/>
      <c r="J255" s="84"/>
      <c r="N255" s="84"/>
      <c r="R255" s="84"/>
      <c r="V255" s="84"/>
      <c r="Z255" s="84"/>
      <c r="AD255" s="84"/>
      <c r="AH255" s="84"/>
      <c r="AL255" s="84"/>
      <c r="AP255" s="84"/>
      <c r="AT255" s="84"/>
      <c r="AX255" s="84"/>
      <c r="BB255" s="85"/>
      <c r="BC255" s="84"/>
      <c r="BD255" s="84"/>
      <c r="BF255" s="84"/>
      <c r="BL255" s="84"/>
      <c r="BP255" s="86"/>
      <c r="BV255" s="84"/>
      <c r="CA255" s="84"/>
      <c r="CF255" s="84"/>
      <c r="CK255" s="84"/>
      <c r="CP255" s="84"/>
      <c r="CS255" s="86"/>
      <c r="CT255" s="84"/>
      <c r="CW255" s="86"/>
      <c r="CX255" s="84"/>
      <c r="DA255" s="86"/>
      <c r="DB255" s="84"/>
      <c r="DE255" s="86"/>
      <c r="DF255" s="84"/>
      <c r="DI255" s="86"/>
      <c r="DJ255" s="84"/>
      <c r="DM255" s="86"/>
      <c r="DN255" s="84"/>
      <c r="DQ255" s="86"/>
      <c r="DR255" s="85"/>
      <c r="DS255" s="85"/>
      <c r="DT255" s="84"/>
      <c r="DV255" s="84"/>
      <c r="DW255" s="157"/>
      <c r="EB255" s="84"/>
      <c r="EG255" s="84"/>
      <c r="EK255" s="84"/>
      <c r="EO255" s="84"/>
      <c r="ES255" s="84"/>
      <c r="EW255" s="84"/>
    </row>
    <row r="256" customFormat="false" ht="12.75" hidden="false" customHeight="false" outlineLevel="0" collapsed="false">
      <c r="A256" s="37"/>
      <c r="E256" s="83"/>
      <c r="J256" s="84"/>
      <c r="N256" s="84"/>
      <c r="R256" s="84"/>
      <c r="V256" s="84"/>
      <c r="Z256" s="84"/>
      <c r="AD256" s="84"/>
      <c r="AH256" s="84"/>
      <c r="AL256" s="84"/>
      <c r="AP256" s="84"/>
      <c r="AT256" s="84"/>
      <c r="AX256" s="84"/>
      <c r="BB256" s="85"/>
      <c r="BC256" s="84"/>
      <c r="BD256" s="84"/>
      <c r="BF256" s="84"/>
      <c r="BL256" s="84"/>
      <c r="BP256" s="86"/>
      <c r="BV256" s="84"/>
      <c r="CA256" s="84"/>
      <c r="CF256" s="84"/>
      <c r="CK256" s="84"/>
      <c r="CP256" s="84"/>
      <c r="CS256" s="86"/>
      <c r="CT256" s="84"/>
      <c r="CW256" s="86"/>
      <c r="CX256" s="84"/>
      <c r="DA256" s="86"/>
      <c r="DB256" s="84"/>
      <c r="DE256" s="86"/>
      <c r="DF256" s="84"/>
      <c r="DI256" s="86"/>
      <c r="DJ256" s="84"/>
      <c r="DM256" s="86"/>
      <c r="DN256" s="84"/>
      <c r="DQ256" s="86"/>
      <c r="DR256" s="85"/>
      <c r="DS256" s="85"/>
      <c r="DT256" s="84"/>
      <c r="DV256" s="84"/>
      <c r="DW256" s="157"/>
      <c r="EB256" s="84"/>
      <c r="EG256" s="84"/>
      <c r="EK256" s="84"/>
      <c r="EO256" s="84"/>
      <c r="ES256" s="84"/>
      <c r="EW256" s="84"/>
    </row>
    <row r="257" customFormat="false" ht="12.75" hidden="false" customHeight="false" outlineLevel="0" collapsed="false">
      <c r="A257" s="37"/>
      <c r="E257" s="83"/>
      <c r="J257" s="84"/>
      <c r="N257" s="84"/>
      <c r="R257" s="84"/>
      <c r="V257" s="84"/>
      <c r="Z257" s="84"/>
      <c r="AD257" s="84"/>
      <c r="AH257" s="84"/>
      <c r="AL257" s="84"/>
      <c r="AP257" s="84"/>
      <c r="AT257" s="84"/>
      <c r="AX257" s="84"/>
      <c r="BB257" s="85"/>
      <c r="BC257" s="84"/>
      <c r="BD257" s="84"/>
      <c r="BF257" s="84"/>
      <c r="BL257" s="84"/>
      <c r="BP257" s="86"/>
      <c r="BV257" s="84"/>
      <c r="CA257" s="84"/>
      <c r="CF257" s="84"/>
      <c r="CK257" s="84"/>
      <c r="CP257" s="84"/>
      <c r="CS257" s="86"/>
      <c r="CT257" s="84"/>
      <c r="CW257" s="86"/>
      <c r="CX257" s="84"/>
      <c r="DA257" s="86"/>
      <c r="DB257" s="84"/>
      <c r="DE257" s="86"/>
      <c r="DF257" s="84"/>
      <c r="DI257" s="86"/>
      <c r="DJ257" s="84"/>
      <c r="DM257" s="86"/>
      <c r="DN257" s="84"/>
      <c r="DQ257" s="86"/>
      <c r="DR257" s="85"/>
      <c r="DS257" s="85"/>
      <c r="DT257" s="84"/>
      <c r="DV257" s="84"/>
      <c r="DW257" s="157"/>
      <c r="EB257" s="84"/>
      <c r="EG257" s="84"/>
      <c r="EK257" s="84"/>
      <c r="EO257" s="84"/>
      <c r="ES257" s="84"/>
      <c r="EW257" s="84"/>
    </row>
    <row r="258" customFormat="false" ht="12.75" hidden="false" customHeight="false" outlineLevel="0" collapsed="false">
      <c r="A258" s="37"/>
      <c r="E258" s="83"/>
      <c r="J258" s="84"/>
      <c r="N258" s="84"/>
      <c r="R258" s="84"/>
      <c r="V258" s="84"/>
      <c r="Z258" s="84"/>
      <c r="AD258" s="84"/>
      <c r="AH258" s="84"/>
      <c r="AL258" s="84"/>
      <c r="AP258" s="84"/>
      <c r="AT258" s="84"/>
      <c r="AX258" s="84"/>
      <c r="BB258" s="85"/>
      <c r="BC258" s="84"/>
      <c r="BD258" s="84"/>
      <c r="BF258" s="84"/>
      <c r="BL258" s="84"/>
      <c r="BP258" s="86"/>
      <c r="BV258" s="84"/>
      <c r="CA258" s="84"/>
      <c r="CF258" s="84"/>
      <c r="CK258" s="84"/>
      <c r="CP258" s="84"/>
      <c r="CS258" s="86"/>
      <c r="CT258" s="84"/>
      <c r="CW258" s="86"/>
      <c r="CX258" s="84"/>
      <c r="DA258" s="86"/>
      <c r="DB258" s="84"/>
      <c r="DE258" s="86"/>
      <c r="DF258" s="84"/>
      <c r="DI258" s="86"/>
      <c r="DJ258" s="84"/>
      <c r="DM258" s="86"/>
      <c r="DN258" s="84"/>
      <c r="DQ258" s="86"/>
      <c r="DR258" s="85"/>
      <c r="DS258" s="85"/>
      <c r="DT258" s="84"/>
      <c r="DV258" s="84"/>
      <c r="DW258" s="157"/>
      <c r="EB258" s="84"/>
      <c r="EG258" s="84"/>
      <c r="EK258" s="84"/>
      <c r="EO258" s="84"/>
      <c r="ES258" s="84"/>
      <c r="EW258" s="84"/>
    </row>
    <row r="259" customFormat="false" ht="12.75" hidden="false" customHeight="false" outlineLevel="0" collapsed="false">
      <c r="A259" s="37"/>
      <c r="E259" s="83"/>
      <c r="J259" s="84"/>
      <c r="N259" s="84"/>
      <c r="R259" s="84"/>
      <c r="V259" s="84"/>
      <c r="Z259" s="84"/>
      <c r="AD259" s="84"/>
      <c r="AH259" s="84"/>
      <c r="AL259" s="84"/>
      <c r="AP259" s="84"/>
      <c r="AT259" s="84"/>
      <c r="AX259" s="84"/>
      <c r="BB259" s="85"/>
      <c r="BC259" s="84"/>
      <c r="BD259" s="84"/>
      <c r="BF259" s="84"/>
      <c r="BL259" s="84"/>
      <c r="BP259" s="86"/>
      <c r="BV259" s="84"/>
      <c r="CA259" s="84"/>
      <c r="CF259" s="84"/>
      <c r="CK259" s="84"/>
      <c r="CP259" s="84"/>
      <c r="CS259" s="86"/>
      <c r="CT259" s="84"/>
      <c r="CW259" s="86"/>
      <c r="CX259" s="84"/>
      <c r="DA259" s="86"/>
      <c r="DB259" s="84"/>
      <c r="DE259" s="86"/>
      <c r="DF259" s="84"/>
      <c r="DI259" s="86"/>
      <c r="DJ259" s="84"/>
      <c r="DM259" s="86"/>
      <c r="DN259" s="84"/>
      <c r="DQ259" s="86"/>
      <c r="DR259" s="85"/>
      <c r="DS259" s="85"/>
      <c r="DT259" s="84"/>
      <c r="DV259" s="84"/>
      <c r="DW259" s="157"/>
      <c r="EB259" s="84"/>
      <c r="EG259" s="84"/>
      <c r="EK259" s="84"/>
      <c r="EO259" s="84"/>
      <c r="ES259" s="84"/>
      <c r="EW259" s="84"/>
    </row>
    <row r="260" customFormat="false" ht="12.75" hidden="false" customHeight="false" outlineLevel="0" collapsed="false">
      <c r="A260" s="37"/>
      <c r="E260" s="83"/>
      <c r="J260" s="84"/>
      <c r="N260" s="84"/>
      <c r="R260" s="84"/>
      <c r="V260" s="84"/>
      <c r="Z260" s="84"/>
      <c r="AD260" s="84"/>
      <c r="AH260" s="84"/>
      <c r="AL260" s="84"/>
      <c r="AP260" s="84"/>
      <c r="AT260" s="84"/>
      <c r="AX260" s="84"/>
      <c r="BB260" s="85"/>
      <c r="BC260" s="84"/>
      <c r="BD260" s="84"/>
      <c r="BF260" s="84"/>
      <c r="BL260" s="84"/>
      <c r="BP260" s="86"/>
      <c r="BV260" s="84"/>
      <c r="CA260" s="84"/>
      <c r="CF260" s="84"/>
      <c r="CK260" s="84"/>
      <c r="CP260" s="84"/>
      <c r="CS260" s="86"/>
      <c r="CT260" s="84"/>
      <c r="CW260" s="86"/>
      <c r="CX260" s="84"/>
      <c r="DA260" s="86"/>
      <c r="DB260" s="84"/>
      <c r="DE260" s="86"/>
      <c r="DF260" s="84"/>
      <c r="DI260" s="86"/>
      <c r="DJ260" s="84"/>
      <c r="DM260" s="86"/>
      <c r="DN260" s="84"/>
      <c r="DQ260" s="86"/>
      <c r="DR260" s="85"/>
      <c r="DS260" s="85"/>
      <c r="DT260" s="84"/>
      <c r="DV260" s="84"/>
      <c r="DW260" s="157"/>
      <c r="EB260" s="84"/>
      <c r="EG260" s="84"/>
      <c r="EK260" s="84"/>
      <c r="EO260" s="84"/>
      <c r="ES260" s="84"/>
      <c r="EW260" s="84"/>
    </row>
    <row r="261" customFormat="false" ht="12.75" hidden="false" customHeight="false" outlineLevel="0" collapsed="false">
      <c r="A261" s="37"/>
      <c r="E261" s="83"/>
      <c r="J261" s="84"/>
      <c r="N261" s="84"/>
      <c r="R261" s="84"/>
      <c r="V261" s="84"/>
      <c r="Z261" s="84"/>
      <c r="AD261" s="84"/>
      <c r="AH261" s="84"/>
      <c r="AL261" s="84"/>
      <c r="AP261" s="84"/>
      <c r="AT261" s="84"/>
      <c r="AX261" s="84"/>
      <c r="BB261" s="85"/>
      <c r="BC261" s="84"/>
      <c r="BD261" s="84"/>
      <c r="BF261" s="84"/>
      <c r="BL261" s="84"/>
      <c r="BP261" s="86"/>
      <c r="BV261" s="84"/>
      <c r="CA261" s="84"/>
      <c r="CF261" s="84"/>
      <c r="CK261" s="84"/>
      <c r="CP261" s="84"/>
      <c r="CS261" s="86"/>
      <c r="CT261" s="84"/>
      <c r="CW261" s="86"/>
      <c r="CX261" s="84"/>
      <c r="DA261" s="86"/>
      <c r="DB261" s="84"/>
      <c r="DE261" s="86"/>
      <c r="DF261" s="84"/>
      <c r="DI261" s="86"/>
      <c r="DJ261" s="84"/>
      <c r="DM261" s="86"/>
      <c r="DN261" s="84"/>
      <c r="DQ261" s="86"/>
      <c r="DR261" s="85"/>
      <c r="DS261" s="85"/>
      <c r="DT261" s="84"/>
      <c r="DV261" s="84"/>
      <c r="DW261" s="157"/>
      <c r="EB261" s="84"/>
      <c r="EG261" s="84"/>
      <c r="EK261" s="84"/>
      <c r="EO261" s="84"/>
      <c r="ES261" s="84"/>
      <c r="EW261" s="84"/>
    </row>
    <row r="262" customFormat="false" ht="12.75" hidden="false" customHeight="false" outlineLevel="0" collapsed="false">
      <c r="A262" s="37"/>
      <c r="E262" s="83"/>
      <c r="J262" s="84"/>
      <c r="N262" s="84"/>
      <c r="R262" s="84"/>
      <c r="V262" s="84"/>
      <c r="Z262" s="84"/>
      <c r="AD262" s="84"/>
      <c r="AH262" s="84"/>
      <c r="AL262" s="84"/>
      <c r="AP262" s="84"/>
      <c r="AT262" s="84"/>
      <c r="AX262" s="84"/>
      <c r="BB262" s="85"/>
      <c r="BC262" s="84"/>
      <c r="BD262" s="84"/>
      <c r="BF262" s="84"/>
      <c r="BL262" s="84"/>
      <c r="BP262" s="86"/>
      <c r="BV262" s="84"/>
      <c r="CA262" s="84"/>
      <c r="CF262" s="84"/>
      <c r="CK262" s="84"/>
      <c r="CP262" s="84"/>
      <c r="CS262" s="86"/>
      <c r="CT262" s="84"/>
      <c r="CW262" s="86"/>
      <c r="CX262" s="84"/>
      <c r="DA262" s="86"/>
      <c r="DB262" s="84"/>
      <c r="DE262" s="86"/>
      <c r="DF262" s="84"/>
      <c r="DI262" s="86"/>
      <c r="DJ262" s="84"/>
      <c r="DM262" s="86"/>
      <c r="DN262" s="84"/>
      <c r="DQ262" s="86"/>
      <c r="DR262" s="85"/>
      <c r="DS262" s="85"/>
      <c r="DT262" s="84"/>
      <c r="DV262" s="84"/>
      <c r="DW262" s="157"/>
      <c r="EB262" s="84"/>
      <c r="EG262" s="84"/>
      <c r="EK262" s="84"/>
      <c r="EO262" s="84"/>
      <c r="ES262" s="84"/>
      <c r="EW262" s="84"/>
    </row>
    <row r="263" customFormat="false" ht="12.75" hidden="false" customHeight="false" outlineLevel="0" collapsed="false">
      <c r="A263" s="37"/>
      <c r="E263" s="83"/>
      <c r="J263" s="84"/>
      <c r="N263" s="84"/>
      <c r="R263" s="84"/>
      <c r="V263" s="84"/>
      <c r="Z263" s="84"/>
      <c r="AD263" s="84"/>
      <c r="AH263" s="84"/>
      <c r="AL263" s="84"/>
      <c r="AP263" s="84"/>
      <c r="AT263" s="84"/>
      <c r="AX263" s="84"/>
      <c r="BB263" s="85"/>
      <c r="BC263" s="84"/>
      <c r="BD263" s="84"/>
      <c r="BF263" s="84"/>
      <c r="BL263" s="84"/>
      <c r="BP263" s="86"/>
      <c r="BV263" s="84"/>
      <c r="CA263" s="84"/>
      <c r="CF263" s="84"/>
      <c r="CK263" s="84"/>
      <c r="CP263" s="84"/>
      <c r="CS263" s="86"/>
      <c r="CT263" s="84"/>
      <c r="CW263" s="86"/>
      <c r="CX263" s="84"/>
      <c r="DA263" s="86"/>
      <c r="DB263" s="84"/>
      <c r="DE263" s="86"/>
      <c r="DF263" s="84"/>
      <c r="DI263" s="86"/>
      <c r="DJ263" s="84"/>
      <c r="DM263" s="86"/>
      <c r="DN263" s="84"/>
      <c r="DQ263" s="86"/>
      <c r="DR263" s="85"/>
      <c r="DS263" s="85"/>
      <c r="DT263" s="84"/>
      <c r="DV263" s="84"/>
      <c r="DW263" s="157"/>
      <c r="EB263" s="84"/>
      <c r="EG263" s="84"/>
      <c r="EK263" s="84"/>
      <c r="EO263" s="84"/>
      <c r="ES263" s="84"/>
      <c r="EW263" s="84"/>
    </row>
    <row r="264" customFormat="false" ht="12.75" hidden="false" customHeight="false" outlineLevel="0" collapsed="false">
      <c r="A264" s="37"/>
      <c r="E264" s="83"/>
      <c r="J264" s="84"/>
      <c r="N264" s="84"/>
      <c r="R264" s="84"/>
      <c r="V264" s="84"/>
      <c r="Z264" s="84"/>
      <c r="AD264" s="84"/>
      <c r="AH264" s="84"/>
      <c r="AL264" s="84"/>
      <c r="AP264" s="84"/>
      <c r="AT264" s="84"/>
      <c r="AX264" s="84"/>
      <c r="BB264" s="85"/>
      <c r="BC264" s="84"/>
      <c r="BD264" s="84"/>
      <c r="BF264" s="84"/>
      <c r="BL264" s="84"/>
      <c r="BP264" s="86"/>
      <c r="BV264" s="84"/>
      <c r="CA264" s="84"/>
      <c r="CF264" s="84"/>
      <c r="CK264" s="84"/>
      <c r="CP264" s="84"/>
      <c r="CS264" s="86"/>
      <c r="CT264" s="84"/>
      <c r="CW264" s="86"/>
      <c r="CX264" s="84"/>
      <c r="DA264" s="86"/>
      <c r="DB264" s="84"/>
      <c r="DE264" s="86"/>
      <c r="DF264" s="84"/>
      <c r="DI264" s="86"/>
      <c r="DJ264" s="84"/>
      <c r="DM264" s="86"/>
      <c r="DN264" s="84"/>
      <c r="DQ264" s="86"/>
      <c r="DR264" s="85"/>
      <c r="DS264" s="85"/>
      <c r="DT264" s="84"/>
      <c r="DV264" s="84"/>
      <c r="DW264" s="157"/>
      <c r="EB264" s="84"/>
      <c r="EG264" s="84"/>
      <c r="EK264" s="84"/>
      <c r="EO264" s="84"/>
      <c r="ES264" s="84"/>
      <c r="EW264" s="84"/>
    </row>
    <row r="265" customFormat="false" ht="12.75" hidden="false" customHeight="false" outlineLevel="0" collapsed="false">
      <c r="A265" s="37"/>
      <c r="E265" s="83"/>
      <c r="J265" s="84"/>
      <c r="N265" s="84"/>
      <c r="R265" s="84"/>
      <c r="V265" s="84"/>
      <c r="Z265" s="84"/>
      <c r="AD265" s="84"/>
      <c r="AH265" s="84"/>
      <c r="AL265" s="84"/>
      <c r="AP265" s="84"/>
      <c r="AT265" s="84"/>
      <c r="AX265" s="84"/>
      <c r="BB265" s="85"/>
      <c r="BC265" s="84"/>
      <c r="BD265" s="84"/>
      <c r="BF265" s="84"/>
      <c r="BL265" s="84"/>
      <c r="BP265" s="86"/>
      <c r="BV265" s="84"/>
      <c r="CA265" s="84"/>
      <c r="CF265" s="84"/>
      <c r="CK265" s="84"/>
      <c r="CP265" s="84"/>
      <c r="CS265" s="86"/>
      <c r="CT265" s="84"/>
      <c r="CW265" s="86"/>
      <c r="CX265" s="84"/>
      <c r="DA265" s="86"/>
      <c r="DB265" s="84"/>
      <c r="DE265" s="86"/>
      <c r="DF265" s="84"/>
      <c r="DI265" s="86"/>
      <c r="DJ265" s="84"/>
      <c r="DM265" s="86"/>
      <c r="DN265" s="84"/>
      <c r="DQ265" s="86"/>
      <c r="DR265" s="85"/>
      <c r="DS265" s="85"/>
      <c r="DT265" s="84"/>
      <c r="DV265" s="84"/>
      <c r="DW265" s="157"/>
      <c r="EB265" s="84"/>
      <c r="EG265" s="84"/>
      <c r="EK265" s="84"/>
      <c r="EO265" s="84"/>
      <c r="ES265" s="84"/>
      <c r="EW265" s="84"/>
    </row>
    <row r="266" customFormat="false" ht="12.75" hidden="false" customHeight="false" outlineLevel="0" collapsed="false">
      <c r="A266" s="37"/>
      <c r="E266" s="83"/>
      <c r="J266" s="84"/>
      <c r="N266" s="84"/>
      <c r="R266" s="84"/>
      <c r="V266" s="84"/>
      <c r="Z266" s="84"/>
      <c r="AD266" s="84"/>
      <c r="AH266" s="84"/>
      <c r="AL266" s="84"/>
      <c r="AP266" s="84"/>
      <c r="AT266" s="84"/>
      <c r="AX266" s="84"/>
      <c r="BB266" s="85"/>
      <c r="BC266" s="84"/>
      <c r="BD266" s="84"/>
      <c r="BF266" s="84"/>
      <c r="BL266" s="84"/>
      <c r="BP266" s="86"/>
      <c r="BV266" s="84"/>
      <c r="CA266" s="84"/>
      <c r="CF266" s="84"/>
      <c r="CK266" s="84"/>
      <c r="CP266" s="84"/>
      <c r="CS266" s="86"/>
      <c r="CT266" s="84"/>
      <c r="CW266" s="86"/>
      <c r="CX266" s="84"/>
      <c r="DA266" s="86"/>
      <c r="DB266" s="84"/>
      <c r="DE266" s="86"/>
      <c r="DF266" s="84"/>
      <c r="DI266" s="86"/>
      <c r="DJ266" s="84"/>
      <c r="DM266" s="86"/>
      <c r="DN266" s="84"/>
      <c r="DQ266" s="86"/>
      <c r="DR266" s="85"/>
      <c r="DS266" s="85"/>
      <c r="DT266" s="84"/>
      <c r="DV266" s="84"/>
      <c r="DW266" s="157"/>
      <c r="EB266" s="84"/>
      <c r="EG266" s="84"/>
      <c r="EK266" s="84"/>
      <c r="EO266" s="84"/>
      <c r="ES266" s="84"/>
      <c r="EW266" s="84"/>
    </row>
    <row r="267" customFormat="false" ht="12.75" hidden="false" customHeight="false" outlineLevel="0" collapsed="false">
      <c r="A267" s="37"/>
      <c r="E267" s="83"/>
      <c r="J267" s="84"/>
      <c r="N267" s="84"/>
      <c r="R267" s="84"/>
      <c r="V267" s="84"/>
      <c r="Z267" s="84"/>
      <c r="AD267" s="84"/>
      <c r="AH267" s="84"/>
      <c r="AL267" s="84"/>
      <c r="AP267" s="84"/>
      <c r="AT267" s="84"/>
      <c r="AX267" s="84"/>
      <c r="BB267" s="85"/>
      <c r="BC267" s="84"/>
      <c r="BD267" s="84"/>
      <c r="BF267" s="84"/>
      <c r="BL267" s="84"/>
      <c r="BP267" s="86"/>
      <c r="BV267" s="84"/>
      <c r="CA267" s="84"/>
      <c r="CF267" s="84"/>
      <c r="CK267" s="84"/>
      <c r="CP267" s="84"/>
      <c r="CS267" s="86"/>
      <c r="CT267" s="84"/>
      <c r="CW267" s="86"/>
      <c r="CX267" s="84"/>
      <c r="DA267" s="86"/>
      <c r="DB267" s="84"/>
      <c r="DE267" s="86"/>
      <c r="DF267" s="84"/>
      <c r="DI267" s="86"/>
      <c r="DJ267" s="84"/>
      <c r="DM267" s="86"/>
      <c r="DN267" s="84"/>
      <c r="DQ267" s="86"/>
      <c r="DR267" s="85"/>
      <c r="DS267" s="85"/>
      <c r="DT267" s="84"/>
      <c r="DV267" s="84"/>
      <c r="DW267" s="157"/>
      <c r="EB267" s="84"/>
      <c r="EG267" s="84"/>
      <c r="EK267" s="84"/>
      <c r="EO267" s="84"/>
      <c r="ES267" s="84"/>
      <c r="EW267" s="84"/>
    </row>
    <row r="268" customFormat="false" ht="12.75" hidden="false" customHeight="false" outlineLevel="0" collapsed="false">
      <c r="A268" s="37"/>
      <c r="E268" s="83"/>
      <c r="J268" s="84"/>
      <c r="N268" s="84"/>
      <c r="R268" s="84"/>
      <c r="V268" s="84"/>
      <c r="Z268" s="84"/>
      <c r="AD268" s="84"/>
      <c r="AH268" s="84"/>
      <c r="AL268" s="84"/>
      <c r="AP268" s="84"/>
      <c r="AT268" s="84"/>
      <c r="AX268" s="84"/>
      <c r="BB268" s="85"/>
      <c r="BC268" s="84"/>
      <c r="BD268" s="84"/>
      <c r="BF268" s="84"/>
      <c r="BL268" s="84"/>
      <c r="BP268" s="86"/>
      <c r="BV268" s="84"/>
      <c r="CA268" s="84"/>
      <c r="CF268" s="84"/>
      <c r="CK268" s="84"/>
      <c r="CP268" s="84"/>
      <c r="CS268" s="86"/>
      <c r="CT268" s="84"/>
      <c r="CW268" s="86"/>
      <c r="CX268" s="84"/>
      <c r="DA268" s="86"/>
      <c r="DB268" s="84"/>
      <c r="DE268" s="86"/>
      <c r="DF268" s="84"/>
      <c r="DI268" s="86"/>
      <c r="DJ268" s="84"/>
      <c r="DM268" s="86"/>
      <c r="DN268" s="84"/>
      <c r="DQ268" s="86"/>
      <c r="DR268" s="85"/>
      <c r="DS268" s="85"/>
      <c r="DT268" s="84"/>
      <c r="DV268" s="84"/>
      <c r="DW268" s="157"/>
      <c r="EB268" s="84"/>
      <c r="EG268" s="84"/>
      <c r="EK268" s="84"/>
      <c r="EO268" s="84"/>
      <c r="ES268" s="84"/>
      <c r="EW268" s="84"/>
    </row>
    <row r="269" customFormat="false" ht="12.75" hidden="false" customHeight="false" outlineLevel="0" collapsed="false">
      <c r="A269" s="37"/>
      <c r="E269" s="83"/>
      <c r="J269" s="84"/>
      <c r="N269" s="84"/>
      <c r="R269" s="84"/>
      <c r="V269" s="84"/>
      <c r="Z269" s="84"/>
      <c r="AD269" s="84"/>
      <c r="AH269" s="84"/>
      <c r="AL269" s="84"/>
      <c r="AP269" s="84"/>
      <c r="AT269" s="84"/>
      <c r="AX269" s="84"/>
      <c r="BB269" s="85"/>
      <c r="BC269" s="84"/>
      <c r="BD269" s="84"/>
      <c r="BF269" s="84"/>
      <c r="BL269" s="84"/>
      <c r="BP269" s="86"/>
      <c r="BV269" s="84"/>
      <c r="CA269" s="84"/>
      <c r="CF269" s="84"/>
      <c r="CK269" s="84"/>
      <c r="CP269" s="84"/>
      <c r="CS269" s="86"/>
      <c r="CT269" s="84"/>
      <c r="CW269" s="86"/>
      <c r="CX269" s="84"/>
      <c r="DA269" s="86"/>
      <c r="DB269" s="84"/>
      <c r="DE269" s="86"/>
      <c r="DF269" s="84"/>
      <c r="DI269" s="86"/>
      <c r="DJ269" s="84"/>
      <c r="DM269" s="86"/>
      <c r="DN269" s="84"/>
      <c r="DQ269" s="86"/>
      <c r="DR269" s="85"/>
      <c r="DS269" s="85"/>
      <c r="DT269" s="84"/>
      <c r="DV269" s="84"/>
      <c r="DW269" s="157"/>
      <c r="EB269" s="84"/>
      <c r="EG269" s="84"/>
      <c r="EK269" s="84"/>
      <c r="EO269" s="84"/>
      <c r="ES269" s="84"/>
      <c r="EW269" s="84"/>
    </row>
    <row r="270" customFormat="false" ht="12.75" hidden="false" customHeight="false" outlineLevel="0" collapsed="false">
      <c r="A270" s="37"/>
      <c r="E270" s="83"/>
      <c r="J270" s="84"/>
      <c r="N270" s="84"/>
      <c r="R270" s="84"/>
      <c r="V270" s="84"/>
      <c r="Z270" s="84"/>
      <c r="AD270" s="84"/>
      <c r="AH270" s="84"/>
      <c r="AL270" s="84"/>
      <c r="AP270" s="84"/>
      <c r="AT270" s="84"/>
      <c r="AX270" s="84"/>
      <c r="BB270" s="85"/>
      <c r="BC270" s="84"/>
      <c r="BD270" s="84"/>
      <c r="BF270" s="84"/>
      <c r="BL270" s="84"/>
      <c r="BP270" s="86"/>
      <c r="BV270" s="84"/>
      <c r="CA270" s="84"/>
      <c r="CF270" s="84"/>
      <c r="CK270" s="84"/>
      <c r="CP270" s="84"/>
      <c r="CS270" s="86"/>
      <c r="CT270" s="84"/>
      <c r="CW270" s="86"/>
      <c r="CX270" s="84"/>
      <c r="DA270" s="86"/>
      <c r="DB270" s="84"/>
      <c r="DE270" s="86"/>
      <c r="DF270" s="84"/>
      <c r="DI270" s="86"/>
      <c r="DJ270" s="84"/>
      <c r="DM270" s="86"/>
      <c r="DN270" s="84"/>
      <c r="DQ270" s="86"/>
      <c r="DR270" s="85"/>
      <c r="DS270" s="85"/>
      <c r="DT270" s="84"/>
      <c r="DV270" s="84"/>
      <c r="DW270" s="157"/>
      <c r="EB270" s="84"/>
      <c r="EG270" s="84"/>
      <c r="EK270" s="84"/>
      <c r="EO270" s="84"/>
      <c r="ES270" s="84"/>
      <c r="EW270" s="84"/>
    </row>
    <row r="271" customFormat="false" ht="12.75" hidden="false" customHeight="false" outlineLevel="0" collapsed="false">
      <c r="A271" s="37"/>
      <c r="E271" s="83"/>
      <c r="J271" s="84"/>
      <c r="N271" s="84"/>
      <c r="R271" s="84"/>
      <c r="V271" s="84"/>
      <c r="Z271" s="84"/>
      <c r="AD271" s="84"/>
      <c r="AH271" s="84"/>
      <c r="AL271" s="84"/>
      <c r="AP271" s="84"/>
      <c r="AT271" s="84"/>
      <c r="AX271" s="84"/>
      <c r="BB271" s="85"/>
      <c r="BC271" s="84"/>
      <c r="BD271" s="84"/>
      <c r="BF271" s="84"/>
      <c r="BL271" s="84"/>
      <c r="BP271" s="86"/>
      <c r="BV271" s="84"/>
      <c r="CA271" s="84"/>
      <c r="CF271" s="84"/>
      <c r="CK271" s="84"/>
      <c r="CP271" s="84"/>
      <c r="CS271" s="86"/>
      <c r="CT271" s="84"/>
      <c r="CW271" s="86"/>
      <c r="CX271" s="84"/>
      <c r="DA271" s="86"/>
      <c r="DB271" s="84"/>
      <c r="DE271" s="86"/>
      <c r="DF271" s="84"/>
      <c r="DI271" s="86"/>
      <c r="DJ271" s="84"/>
      <c r="DM271" s="86"/>
      <c r="DN271" s="84"/>
      <c r="DQ271" s="86"/>
      <c r="DR271" s="85"/>
      <c r="DS271" s="85"/>
      <c r="DT271" s="84"/>
      <c r="DV271" s="84"/>
      <c r="DW271" s="157"/>
      <c r="EB271" s="84"/>
      <c r="EG271" s="84"/>
      <c r="EK271" s="84"/>
      <c r="EO271" s="84"/>
      <c r="ES271" s="84"/>
      <c r="EW271" s="84"/>
    </row>
    <row r="272" customFormat="false" ht="12.75" hidden="false" customHeight="false" outlineLevel="0" collapsed="false">
      <c r="A272" s="37"/>
      <c r="E272" s="83"/>
      <c r="J272" s="84"/>
      <c r="N272" s="84"/>
      <c r="R272" s="84"/>
      <c r="V272" s="84"/>
      <c r="Z272" s="84"/>
      <c r="AD272" s="84"/>
      <c r="AH272" s="84"/>
      <c r="AL272" s="84"/>
      <c r="AP272" s="84"/>
      <c r="AT272" s="84"/>
      <c r="AX272" s="84"/>
      <c r="BB272" s="85"/>
      <c r="BC272" s="84"/>
      <c r="BD272" s="84"/>
      <c r="BF272" s="84"/>
      <c r="BL272" s="84"/>
      <c r="BP272" s="86"/>
      <c r="BV272" s="84"/>
      <c r="CA272" s="84"/>
      <c r="CF272" s="84"/>
      <c r="CK272" s="84"/>
      <c r="CP272" s="84"/>
      <c r="CS272" s="86"/>
      <c r="CT272" s="84"/>
      <c r="CW272" s="86"/>
      <c r="CX272" s="84"/>
      <c r="DA272" s="86"/>
      <c r="DB272" s="84"/>
      <c r="DE272" s="86"/>
      <c r="DF272" s="84"/>
      <c r="DI272" s="86"/>
      <c r="DJ272" s="84"/>
      <c r="DM272" s="86"/>
      <c r="DN272" s="84"/>
      <c r="DQ272" s="86"/>
      <c r="DR272" s="85"/>
      <c r="DS272" s="85"/>
      <c r="DT272" s="84"/>
      <c r="DV272" s="84"/>
      <c r="DW272" s="157"/>
      <c r="EB272" s="84"/>
      <c r="EG272" s="84"/>
      <c r="EK272" s="84"/>
      <c r="EO272" s="84"/>
      <c r="ES272" s="84"/>
      <c r="EW272" s="84"/>
    </row>
    <row r="273" customFormat="false" ht="12.75" hidden="false" customHeight="false" outlineLevel="0" collapsed="false">
      <c r="A273" s="37"/>
      <c r="E273" s="83"/>
      <c r="J273" s="84"/>
      <c r="N273" s="84"/>
      <c r="R273" s="84"/>
      <c r="V273" s="84"/>
      <c r="Z273" s="84"/>
      <c r="AD273" s="84"/>
      <c r="AH273" s="84"/>
      <c r="AL273" s="84"/>
      <c r="AP273" s="84"/>
      <c r="AT273" s="84"/>
      <c r="AX273" s="84"/>
      <c r="BB273" s="85"/>
      <c r="BC273" s="84"/>
      <c r="BD273" s="84"/>
      <c r="BF273" s="84"/>
      <c r="BL273" s="84"/>
      <c r="BP273" s="86"/>
      <c r="BV273" s="84"/>
      <c r="CA273" s="84"/>
      <c r="CF273" s="84"/>
      <c r="CK273" s="84"/>
      <c r="CP273" s="84"/>
      <c r="CS273" s="86"/>
      <c r="CT273" s="84"/>
      <c r="CW273" s="86"/>
      <c r="CX273" s="84"/>
      <c r="DA273" s="86"/>
      <c r="DB273" s="84"/>
      <c r="DE273" s="86"/>
      <c r="DF273" s="84"/>
      <c r="DI273" s="86"/>
      <c r="DJ273" s="84"/>
      <c r="DM273" s="86"/>
      <c r="DN273" s="84"/>
      <c r="DQ273" s="86"/>
      <c r="DR273" s="85"/>
      <c r="DS273" s="85"/>
      <c r="DT273" s="84"/>
      <c r="DV273" s="84"/>
      <c r="DW273" s="157"/>
      <c r="EB273" s="84"/>
      <c r="EG273" s="84"/>
      <c r="EK273" s="84"/>
      <c r="EO273" s="84"/>
      <c r="ES273" s="84"/>
      <c r="EW273" s="84"/>
    </row>
    <row r="274" customFormat="false" ht="12.75" hidden="false" customHeight="false" outlineLevel="0" collapsed="false">
      <c r="A274" s="37"/>
      <c r="E274" s="83"/>
      <c r="J274" s="84"/>
      <c r="N274" s="84"/>
      <c r="R274" s="84"/>
      <c r="V274" s="84"/>
      <c r="Z274" s="84"/>
      <c r="AD274" s="84"/>
      <c r="AH274" s="84"/>
      <c r="AL274" s="84"/>
      <c r="AP274" s="84"/>
      <c r="AT274" s="84"/>
      <c r="AX274" s="84"/>
      <c r="BB274" s="85"/>
      <c r="BC274" s="84"/>
      <c r="BD274" s="84"/>
      <c r="BF274" s="84"/>
      <c r="BL274" s="84"/>
      <c r="BP274" s="86"/>
      <c r="BV274" s="84"/>
      <c r="CA274" s="84"/>
      <c r="CF274" s="84"/>
      <c r="CK274" s="84"/>
      <c r="CP274" s="84"/>
      <c r="CS274" s="86"/>
      <c r="CT274" s="84"/>
      <c r="CW274" s="86"/>
      <c r="CX274" s="84"/>
      <c r="DA274" s="86"/>
      <c r="DB274" s="84"/>
      <c r="DE274" s="86"/>
      <c r="DF274" s="84"/>
      <c r="DI274" s="86"/>
      <c r="DJ274" s="84"/>
      <c r="DM274" s="86"/>
      <c r="DN274" s="84"/>
      <c r="DQ274" s="86"/>
      <c r="DR274" s="85"/>
      <c r="DS274" s="85"/>
      <c r="DT274" s="84"/>
      <c r="DV274" s="84"/>
      <c r="DW274" s="157"/>
      <c r="EB274" s="84"/>
      <c r="EG274" s="84"/>
      <c r="EK274" s="84"/>
      <c r="EO274" s="84"/>
      <c r="ES274" s="84"/>
      <c r="EW274" s="84"/>
    </row>
    <row r="275" customFormat="false" ht="12.75" hidden="false" customHeight="false" outlineLevel="0" collapsed="false">
      <c r="A275" s="37"/>
      <c r="E275" s="83"/>
      <c r="J275" s="84"/>
      <c r="N275" s="84"/>
      <c r="R275" s="84"/>
      <c r="V275" s="84"/>
      <c r="Z275" s="84"/>
      <c r="AD275" s="84"/>
      <c r="AH275" s="84"/>
      <c r="AL275" s="84"/>
      <c r="AP275" s="84"/>
      <c r="AT275" s="84"/>
      <c r="AX275" s="84"/>
      <c r="BB275" s="85"/>
      <c r="BC275" s="84"/>
      <c r="BD275" s="84"/>
      <c r="BF275" s="84"/>
      <c r="BL275" s="84"/>
      <c r="BP275" s="86"/>
      <c r="BV275" s="84"/>
      <c r="CA275" s="84"/>
      <c r="CF275" s="84"/>
      <c r="CK275" s="84"/>
      <c r="CP275" s="84"/>
      <c r="CS275" s="86"/>
      <c r="CT275" s="84"/>
      <c r="CW275" s="86"/>
      <c r="CX275" s="84"/>
      <c r="DA275" s="86"/>
      <c r="DB275" s="84"/>
      <c r="DE275" s="86"/>
      <c r="DF275" s="84"/>
      <c r="DI275" s="86"/>
      <c r="DJ275" s="84"/>
      <c r="DM275" s="86"/>
      <c r="DN275" s="84"/>
      <c r="DQ275" s="86"/>
      <c r="DR275" s="85"/>
      <c r="DS275" s="85"/>
      <c r="DT275" s="84"/>
      <c r="DV275" s="84"/>
      <c r="DW275" s="157"/>
      <c r="EB275" s="84"/>
      <c r="EG275" s="84"/>
      <c r="EK275" s="84"/>
      <c r="EO275" s="84"/>
      <c r="ES275" s="84"/>
      <c r="EW275" s="84"/>
    </row>
    <row r="276" customFormat="false" ht="12.75" hidden="false" customHeight="false" outlineLevel="0" collapsed="false">
      <c r="A276" s="37"/>
      <c r="E276" s="83"/>
      <c r="J276" s="84"/>
      <c r="N276" s="84"/>
      <c r="R276" s="84"/>
      <c r="V276" s="84"/>
      <c r="Z276" s="84"/>
      <c r="AD276" s="84"/>
      <c r="AH276" s="84"/>
      <c r="AL276" s="84"/>
      <c r="AP276" s="84"/>
      <c r="AT276" s="84"/>
      <c r="AX276" s="84"/>
      <c r="BB276" s="85"/>
      <c r="BC276" s="84"/>
      <c r="BD276" s="84"/>
      <c r="BF276" s="84"/>
      <c r="BL276" s="84"/>
      <c r="BP276" s="86"/>
      <c r="BV276" s="84"/>
      <c r="CA276" s="84"/>
      <c r="CF276" s="84"/>
      <c r="CK276" s="84"/>
      <c r="CP276" s="84"/>
      <c r="CS276" s="86"/>
      <c r="CT276" s="84"/>
      <c r="CW276" s="86"/>
      <c r="CX276" s="84"/>
      <c r="DA276" s="86"/>
      <c r="DB276" s="84"/>
      <c r="DE276" s="86"/>
      <c r="DF276" s="84"/>
      <c r="DI276" s="86"/>
      <c r="DJ276" s="84"/>
      <c r="DM276" s="86"/>
      <c r="DN276" s="84"/>
      <c r="DQ276" s="86"/>
      <c r="DR276" s="85"/>
      <c r="DS276" s="85"/>
      <c r="DT276" s="84"/>
      <c r="DV276" s="84"/>
      <c r="DW276" s="157"/>
      <c r="EB276" s="84"/>
      <c r="EG276" s="84"/>
      <c r="EK276" s="84"/>
      <c r="EO276" s="84"/>
      <c r="ES276" s="84"/>
      <c r="EW276" s="84"/>
    </row>
    <row r="277" customFormat="false" ht="12.75" hidden="false" customHeight="false" outlineLevel="0" collapsed="false">
      <c r="A277" s="37"/>
      <c r="E277" s="83"/>
      <c r="J277" s="84"/>
      <c r="N277" s="84"/>
      <c r="R277" s="84"/>
      <c r="V277" s="84"/>
      <c r="Z277" s="84"/>
      <c r="AD277" s="84"/>
      <c r="AH277" s="84"/>
      <c r="AL277" s="84"/>
      <c r="AP277" s="84"/>
      <c r="AT277" s="84"/>
      <c r="AX277" s="84"/>
      <c r="BB277" s="85"/>
      <c r="BC277" s="84"/>
      <c r="BD277" s="84"/>
      <c r="BF277" s="84"/>
      <c r="BL277" s="84"/>
      <c r="BP277" s="86"/>
      <c r="BV277" s="84"/>
      <c r="CA277" s="84"/>
      <c r="CF277" s="84"/>
      <c r="CK277" s="84"/>
      <c r="CP277" s="84"/>
      <c r="CS277" s="86"/>
      <c r="CT277" s="84"/>
      <c r="CW277" s="86"/>
      <c r="CX277" s="84"/>
      <c r="DA277" s="86"/>
      <c r="DB277" s="84"/>
      <c r="DE277" s="86"/>
      <c r="DF277" s="84"/>
      <c r="DI277" s="86"/>
      <c r="DJ277" s="84"/>
      <c r="DM277" s="86"/>
      <c r="DN277" s="84"/>
      <c r="DQ277" s="86"/>
      <c r="DR277" s="85"/>
      <c r="DS277" s="85"/>
      <c r="DT277" s="84"/>
      <c r="DV277" s="84"/>
      <c r="DW277" s="157"/>
      <c r="EB277" s="84"/>
      <c r="EG277" s="84"/>
      <c r="EK277" s="84"/>
      <c r="EO277" s="84"/>
      <c r="ES277" s="84"/>
      <c r="EW277" s="84"/>
    </row>
    <row r="278" customFormat="false" ht="12.75" hidden="false" customHeight="false" outlineLevel="0" collapsed="false">
      <c r="A278" s="37"/>
      <c r="E278" s="83"/>
      <c r="J278" s="84"/>
      <c r="N278" s="84"/>
      <c r="R278" s="84"/>
      <c r="V278" s="84"/>
      <c r="Z278" s="84"/>
      <c r="AD278" s="84"/>
      <c r="AH278" s="84"/>
      <c r="AL278" s="84"/>
      <c r="AP278" s="84"/>
      <c r="AT278" s="84"/>
      <c r="AX278" s="84"/>
      <c r="BB278" s="85"/>
      <c r="BC278" s="84"/>
      <c r="BD278" s="84"/>
      <c r="BF278" s="84"/>
      <c r="BL278" s="84"/>
      <c r="BP278" s="86"/>
      <c r="BV278" s="84"/>
      <c r="CA278" s="84"/>
      <c r="CF278" s="84"/>
      <c r="CK278" s="84"/>
      <c r="CP278" s="84"/>
      <c r="CS278" s="86"/>
      <c r="CT278" s="84"/>
      <c r="CW278" s="86"/>
      <c r="CX278" s="84"/>
      <c r="DA278" s="86"/>
      <c r="DB278" s="84"/>
      <c r="DE278" s="86"/>
      <c r="DF278" s="84"/>
      <c r="DI278" s="86"/>
      <c r="DJ278" s="84"/>
      <c r="DM278" s="86"/>
      <c r="DN278" s="84"/>
      <c r="DQ278" s="86"/>
      <c r="DR278" s="85"/>
      <c r="DS278" s="85"/>
      <c r="DT278" s="84"/>
      <c r="DV278" s="84"/>
      <c r="DW278" s="157"/>
      <c r="EB278" s="84"/>
      <c r="EG278" s="84"/>
      <c r="EK278" s="84"/>
      <c r="EO278" s="84"/>
      <c r="ES278" s="84"/>
      <c r="EW278" s="84"/>
    </row>
    <row r="279" customFormat="false" ht="12.75" hidden="false" customHeight="false" outlineLevel="0" collapsed="false">
      <c r="A279" s="37"/>
      <c r="E279" s="83"/>
      <c r="J279" s="84"/>
      <c r="N279" s="84"/>
      <c r="R279" s="84"/>
      <c r="V279" s="84"/>
      <c r="Z279" s="84"/>
      <c r="AD279" s="84"/>
      <c r="AH279" s="84"/>
      <c r="AL279" s="84"/>
      <c r="AP279" s="84"/>
      <c r="AT279" s="84"/>
      <c r="AX279" s="84"/>
      <c r="BB279" s="85"/>
      <c r="BC279" s="84"/>
      <c r="BD279" s="84"/>
      <c r="BF279" s="84"/>
      <c r="BL279" s="84"/>
      <c r="BP279" s="86"/>
      <c r="BV279" s="84"/>
      <c r="CA279" s="84"/>
      <c r="CF279" s="84"/>
      <c r="CK279" s="84"/>
      <c r="CP279" s="84"/>
      <c r="CS279" s="86"/>
      <c r="CT279" s="84"/>
      <c r="CW279" s="86"/>
      <c r="CX279" s="84"/>
      <c r="DA279" s="86"/>
      <c r="DB279" s="84"/>
      <c r="DE279" s="86"/>
      <c r="DF279" s="84"/>
      <c r="DI279" s="86"/>
      <c r="DJ279" s="84"/>
      <c r="DM279" s="86"/>
      <c r="DN279" s="84"/>
      <c r="DQ279" s="86"/>
      <c r="DR279" s="85"/>
      <c r="DS279" s="85"/>
      <c r="DT279" s="84"/>
      <c r="DV279" s="84"/>
      <c r="DW279" s="157"/>
      <c r="EB279" s="84"/>
      <c r="EG279" s="84"/>
      <c r="EK279" s="84"/>
      <c r="EO279" s="84"/>
      <c r="ES279" s="84"/>
      <c r="EW279" s="84"/>
    </row>
    <row r="280" customFormat="false" ht="12.75" hidden="false" customHeight="false" outlineLevel="0" collapsed="false">
      <c r="A280" s="37"/>
      <c r="E280" s="83"/>
      <c r="J280" s="84"/>
      <c r="N280" s="84"/>
      <c r="R280" s="84"/>
      <c r="V280" s="84"/>
      <c r="Z280" s="84"/>
      <c r="AD280" s="84"/>
      <c r="AH280" s="84"/>
      <c r="AL280" s="84"/>
      <c r="AP280" s="84"/>
      <c r="AT280" s="84"/>
      <c r="AX280" s="84"/>
      <c r="BB280" s="85"/>
      <c r="BC280" s="84"/>
      <c r="BD280" s="84"/>
      <c r="BF280" s="84"/>
      <c r="BL280" s="84"/>
      <c r="BP280" s="86"/>
      <c r="BV280" s="84"/>
      <c r="CA280" s="84"/>
      <c r="CF280" s="84"/>
      <c r="CK280" s="84"/>
      <c r="CP280" s="84"/>
      <c r="CS280" s="86"/>
      <c r="CT280" s="84"/>
      <c r="CW280" s="86"/>
      <c r="CX280" s="84"/>
      <c r="DA280" s="86"/>
      <c r="DB280" s="84"/>
      <c r="DE280" s="86"/>
      <c r="DF280" s="84"/>
      <c r="DI280" s="86"/>
      <c r="DJ280" s="84"/>
      <c r="DM280" s="86"/>
      <c r="DN280" s="84"/>
      <c r="DQ280" s="86"/>
      <c r="DR280" s="85"/>
      <c r="DS280" s="85"/>
      <c r="DT280" s="84"/>
      <c r="DV280" s="84"/>
      <c r="DW280" s="157"/>
      <c r="EB280" s="84"/>
      <c r="EG280" s="84"/>
      <c r="EK280" s="84"/>
      <c r="EO280" s="84"/>
      <c r="ES280" s="84"/>
      <c r="EW280" s="84"/>
    </row>
    <row r="281" customFormat="false" ht="12.75" hidden="false" customHeight="false" outlineLevel="0" collapsed="false">
      <c r="A281" s="37"/>
      <c r="E281" s="83"/>
      <c r="J281" s="84"/>
      <c r="N281" s="84"/>
      <c r="R281" s="84"/>
      <c r="V281" s="84"/>
      <c r="Z281" s="84"/>
      <c r="AD281" s="84"/>
      <c r="AH281" s="84"/>
      <c r="AL281" s="84"/>
      <c r="AP281" s="84"/>
      <c r="AT281" s="84"/>
      <c r="AX281" s="84"/>
      <c r="BB281" s="85"/>
      <c r="BC281" s="84"/>
      <c r="BD281" s="84"/>
      <c r="BF281" s="84"/>
      <c r="BL281" s="84"/>
      <c r="BP281" s="86"/>
      <c r="BV281" s="84"/>
      <c r="CA281" s="84"/>
      <c r="CF281" s="84"/>
      <c r="CK281" s="84"/>
      <c r="CP281" s="84"/>
      <c r="CS281" s="86"/>
      <c r="CT281" s="84"/>
      <c r="CW281" s="86"/>
      <c r="CX281" s="84"/>
      <c r="DA281" s="86"/>
      <c r="DB281" s="84"/>
      <c r="DE281" s="86"/>
      <c r="DF281" s="84"/>
      <c r="DI281" s="86"/>
      <c r="DJ281" s="84"/>
      <c r="DM281" s="86"/>
      <c r="DN281" s="84"/>
      <c r="DQ281" s="86"/>
      <c r="DR281" s="85"/>
      <c r="DS281" s="85"/>
      <c r="DT281" s="84"/>
      <c r="DV281" s="84"/>
      <c r="DW281" s="157"/>
      <c r="EB281" s="84"/>
      <c r="EG281" s="84"/>
      <c r="EK281" s="84"/>
      <c r="EO281" s="84"/>
      <c r="ES281" s="84"/>
      <c r="EW281" s="84"/>
    </row>
    <row r="282" customFormat="false" ht="12.75" hidden="false" customHeight="false" outlineLevel="0" collapsed="false">
      <c r="A282" s="37"/>
      <c r="E282" s="83"/>
      <c r="J282" s="84"/>
      <c r="N282" s="84"/>
      <c r="R282" s="84"/>
      <c r="V282" s="84"/>
      <c r="Z282" s="84"/>
      <c r="AD282" s="84"/>
      <c r="AH282" s="84"/>
      <c r="AL282" s="84"/>
      <c r="AP282" s="84"/>
      <c r="AT282" s="84"/>
      <c r="AX282" s="84"/>
      <c r="BB282" s="85"/>
      <c r="BC282" s="84"/>
      <c r="BD282" s="84"/>
      <c r="BF282" s="84"/>
      <c r="BL282" s="84"/>
      <c r="BP282" s="86"/>
      <c r="BV282" s="84"/>
      <c r="CA282" s="84"/>
      <c r="CF282" s="84"/>
      <c r="CK282" s="84"/>
      <c r="CP282" s="84"/>
      <c r="CS282" s="86"/>
      <c r="CT282" s="84"/>
      <c r="CW282" s="86"/>
      <c r="CX282" s="84"/>
      <c r="DA282" s="86"/>
      <c r="DB282" s="84"/>
      <c r="DE282" s="86"/>
      <c r="DF282" s="84"/>
      <c r="DI282" s="86"/>
      <c r="DJ282" s="84"/>
      <c r="DM282" s="86"/>
      <c r="DN282" s="84"/>
      <c r="DQ282" s="86"/>
      <c r="DR282" s="85"/>
      <c r="DS282" s="85"/>
      <c r="DT282" s="84"/>
      <c r="DV282" s="84"/>
      <c r="DW282" s="157"/>
      <c r="EB282" s="84"/>
      <c r="EG282" s="84"/>
      <c r="EK282" s="84"/>
      <c r="EO282" s="84"/>
      <c r="ES282" s="84"/>
      <c r="EW282" s="84"/>
    </row>
    <row r="283" customFormat="false" ht="12.75" hidden="false" customHeight="false" outlineLevel="0" collapsed="false">
      <c r="A283" s="37"/>
      <c r="E283" s="83"/>
      <c r="J283" s="84"/>
      <c r="N283" s="84"/>
      <c r="R283" s="84"/>
      <c r="V283" s="84"/>
      <c r="Z283" s="84"/>
      <c r="AD283" s="84"/>
      <c r="AH283" s="84"/>
      <c r="AL283" s="84"/>
      <c r="AP283" s="84"/>
      <c r="AT283" s="84"/>
      <c r="AX283" s="84"/>
      <c r="BB283" s="85"/>
      <c r="BC283" s="84"/>
      <c r="BD283" s="84"/>
      <c r="BF283" s="84"/>
      <c r="BL283" s="84"/>
      <c r="BP283" s="86"/>
      <c r="BV283" s="84"/>
      <c r="CA283" s="84"/>
      <c r="CF283" s="84"/>
      <c r="CK283" s="84"/>
      <c r="CP283" s="84"/>
      <c r="CS283" s="86"/>
      <c r="CT283" s="84"/>
      <c r="CW283" s="86"/>
      <c r="CX283" s="84"/>
      <c r="DA283" s="86"/>
      <c r="DB283" s="84"/>
      <c r="DE283" s="86"/>
      <c r="DF283" s="84"/>
      <c r="DI283" s="86"/>
      <c r="DJ283" s="84"/>
      <c r="DM283" s="86"/>
      <c r="DN283" s="84"/>
      <c r="DQ283" s="86"/>
      <c r="DR283" s="85"/>
      <c r="DS283" s="85"/>
      <c r="DT283" s="84"/>
      <c r="DV283" s="84"/>
      <c r="DW283" s="157"/>
      <c r="EB283" s="84"/>
      <c r="EG283" s="84"/>
      <c r="EK283" s="84"/>
      <c r="EO283" s="84"/>
      <c r="ES283" s="84"/>
      <c r="EW283" s="84"/>
    </row>
    <row r="284" customFormat="false" ht="12.75" hidden="false" customHeight="false" outlineLevel="0" collapsed="false">
      <c r="A284" s="37"/>
      <c r="E284" s="83"/>
      <c r="J284" s="84"/>
      <c r="N284" s="84"/>
      <c r="R284" s="84"/>
      <c r="V284" s="84"/>
      <c r="Z284" s="84"/>
      <c r="AD284" s="84"/>
      <c r="AH284" s="84"/>
      <c r="AL284" s="84"/>
      <c r="AP284" s="84"/>
      <c r="AT284" s="84"/>
      <c r="AX284" s="84"/>
      <c r="BB284" s="85"/>
      <c r="BC284" s="84"/>
      <c r="BD284" s="84"/>
      <c r="BF284" s="84"/>
      <c r="BL284" s="84"/>
      <c r="BP284" s="86"/>
      <c r="BV284" s="84"/>
      <c r="CA284" s="84"/>
      <c r="CF284" s="84"/>
      <c r="CK284" s="84"/>
      <c r="CP284" s="84"/>
      <c r="CS284" s="86"/>
      <c r="CT284" s="84"/>
      <c r="CW284" s="86"/>
      <c r="CX284" s="84"/>
      <c r="DA284" s="86"/>
      <c r="DB284" s="84"/>
      <c r="DE284" s="86"/>
      <c r="DF284" s="84"/>
      <c r="DI284" s="86"/>
      <c r="DJ284" s="84"/>
      <c r="DM284" s="86"/>
      <c r="DN284" s="84"/>
      <c r="DQ284" s="86"/>
      <c r="DR284" s="85"/>
      <c r="DS284" s="85"/>
      <c r="DT284" s="84"/>
      <c r="DV284" s="84"/>
      <c r="DW284" s="157"/>
      <c r="EB284" s="84"/>
      <c r="EG284" s="84"/>
      <c r="EK284" s="84"/>
      <c r="EO284" s="84"/>
      <c r="ES284" s="84"/>
      <c r="EW284" s="84"/>
    </row>
    <row r="285" customFormat="false" ht="12.75" hidden="false" customHeight="false" outlineLevel="0" collapsed="false">
      <c r="A285" s="37"/>
      <c r="E285" s="83"/>
      <c r="J285" s="84"/>
      <c r="N285" s="84"/>
      <c r="R285" s="84"/>
      <c r="V285" s="84"/>
      <c r="Z285" s="84"/>
      <c r="AD285" s="84"/>
      <c r="AH285" s="84"/>
      <c r="AL285" s="84"/>
      <c r="AP285" s="84"/>
      <c r="AT285" s="84"/>
      <c r="AX285" s="84"/>
      <c r="BB285" s="85"/>
      <c r="BC285" s="84"/>
      <c r="BD285" s="84"/>
      <c r="BF285" s="84"/>
      <c r="BL285" s="84"/>
      <c r="BP285" s="86"/>
      <c r="BV285" s="84"/>
      <c r="CA285" s="84"/>
      <c r="CF285" s="84"/>
      <c r="CK285" s="84"/>
      <c r="CP285" s="84"/>
      <c r="CS285" s="86"/>
      <c r="CT285" s="84"/>
      <c r="CW285" s="86"/>
      <c r="CX285" s="84"/>
      <c r="DA285" s="86"/>
      <c r="DB285" s="84"/>
      <c r="DE285" s="86"/>
      <c r="DF285" s="84"/>
      <c r="DI285" s="86"/>
      <c r="DJ285" s="84"/>
      <c r="DM285" s="86"/>
      <c r="DN285" s="84"/>
      <c r="DQ285" s="86"/>
      <c r="DR285" s="85"/>
      <c r="DS285" s="85"/>
      <c r="DT285" s="84"/>
      <c r="DV285" s="84"/>
      <c r="DW285" s="157"/>
      <c r="EB285" s="84"/>
      <c r="EG285" s="84"/>
      <c r="EK285" s="84"/>
      <c r="EO285" s="84"/>
      <c r="ES285" s="84"/>
      <c r="EW285" s="84"/>
    </row>
    <row r="286" customFormat="false" ht="12.75" hidden="false" customHeight="false" outlineLevel="0" collapsed="false">
      <c r="A286" s="37"/>
      <c r="E286" s="83"/>
      <c r="J286" s="84"/>
      <c r="N286" s="84"/>
      <c r="R286" s="84"/>
      <c r="V286" s="84"/>
      <c r="Z286" s="84"/>
      <c r="AD286" s="84"/>
      <c r="AH286" s="84"/>
      <c r="AL286" s="84"/>
      <c r="AP286" s="84"/>
      <c r="AT286" s="84"/>
      <c r="AX286" s="84"/>
      <c r="BB286" s="85"/>
      <c r="BC286" s="84"/>
      <c r="BD286" s="84"/>
      <c r="BF286" s="84"/>
      <c r="BL286" s="84"/>
      <c r="BP286" s="86"/>
      <c r="BV286" s="84"/>
      <c r="CA286" s="84"/>
      <c r="CF286" s="84"/>
      <c r="CK286" s="84"/>
      <c r="CP286" s="84"/>
      <c r="CS286" s="86"/>
      <c r="CT286" s="84"/>
      <c r="CW286" s="86"/>
      <c r="CX286" s="84"/>
      <c r="DA286" s="86"/>
      <c r="DB286" s="84"/>
      <c r="DE286" s="86"/>
      <c r="DF286" s="84"/>
      <c r="DI286" s="86"/>
      <c r="DJ286" s="84"/>
      <c r="DM286" s="86"/>
      <c r="DN286" s="84"/>
      <c r="DQ286" s="86"/>
      <c r="DR286" s="85"/>
      <c r="DS286" s="85"/>
      <c r="DT286" s="84"/>
      <c r="DV286" s="84"/>
      <c r="DW286" s="157"/>
      <c r="EB286" s="84"/>
      <c r="EG286" s="84"/>
      <c r="EK286" s="84"/>
      <c r="EO286" s="84"/>
      <c r="ES286" s="84"/>
      <c r="EW286" s="84"/>
    </row>
    <row r="287" customFormat="false" ht="12.75" hidden="false" customHeight="false" outlineLevel="0" collapsed="false">
      <c r="A287" s="37"/>
      <c r="E287" s="83"/>
      <c r="J287" s="84"/>
      <c r="N287" s="84"/>
      <c r="R287" s="84"/>
      <c r="V287" s="84"/>
      <c r="Z287" s="84"/>
      <c r="AD287" s="84"/>
      <c r="AH287" s="84"/>
      <c r="AL287" s="84"/>
      <c r="AP287" s="84"/>
      <c r="AT287" s="84"/>
      <c r="AX287" s="84"/>
      <c r="BB287" s="85"/>
      <c r="BC287" s="84"/>
      <c r="BD287" s="84"/>
      <c r="BF287" s="84"/>
      <c r="BL287" s="84"/>
      <c r="BP287" s="86"/>
      <c r="BV287" s="84"/>
      <c r="CA287" s="84"/>
      <c r="CF287" s="84"/>
      <c r="CK287" s="84"/>
      <c r="CP287" s="84"/>
      <c r="CS287" s="86"/>
      <c r="CT287" s="84"/>
      <c r="CW287" s="86"/>
      <c r="CX287" s="84"/>
      <c r="DA287" s="86"/>
      <c r="DB287" s="84"/>
      <c r="DE287" s="86"/>
      <c r="DF287" s="84"/>
      <c r="DI287" s="86"/>
      <c r="DJ287" s="84"/>
      <c r="DM287" s="86"/>
      <c r="DN287" s="84"/>
      <c r="DQ287" s="86"/>
      <c r="DR287" s="85"/>
      <c r="DS287" s="85"/>
      <c r="DT287" s="84"/>
      <c r="DV287" s="84"/>
      <c r="DW287" s="157"/>
      <c r="EB287" s="84"/>
      <c r="EG287" s="84"/>
      <c r="EK287" s="84"/>
      <c r="EO287" s="84"/>
      <c r="ES287" s="84"/>
      <c r="EW287" s="84"/>
    </row>
    <row r="288" customFormat="false" ht="12.75" hidden="false" customHeight="false" outlineLevel="0" collapsed="false">
      <c r="A288" s="37"/>
      <c r="E288" s="83"/>
      <c r="J288" s="84"/>
      <c r="N288" s="84"/>
      <c r="R288" s="84"/>
      <c r="V288" s="84"/>
      <c r="Z288" s="84"/>
      <c r="AD288" s="84"/>
      <c r="AH288" s="84"/>
      <c r="AL288" s="84"/>
      <c r="AP288" s="84"/>
      <c r="AT288" s="84"/>
      <c r="AX288" s="84"/>
      <c r="BB288" s="85"/>
      <c r="BC288" s="84"/>
      <c r="BD288" s="84"/>
      <c r="BF288" s="84"/>
      <c r="BL288" s="84"/>
      <c r="BP288" s="86"/>
      <c r="BV288" s="84"/>
      <c r="CA288" s="84"/>
      <c r="CF288" s="84"/>
      <c r="CK288" s="84"/>
      <c r="CP288" s="84"/>
      <c r="CS288" s="86"/>
      <c r="CT288" s="84"/>
      <c r="CW288" s="86"/>
      <c r="CX288" s="84"/>
      <c r="DA288" s="86"/>
      <c r="DB288" s="84"/>
      <c r="DE288" s="86"/>
      <c r="DF288" s="84"/>
      <c r="DI288" s="86"/>
      <c r="DJ288" s="84"/>
      <c r="DM288" s="86"/>
      <c r="DN288" s="84"/>
      <c r="DQ288" s="86"/>
      <c r="DR288" s="85"/>
      <c r="DS288" s="85"/>
      <c r="DT288" s="84"/>
      <c r="DV288" s="84"/>
      <c r="DW288" s="157"/>
      <c r="EB288" s="84"/>
      <c r="EG288" s="84"/>
      <c r="EK288" s="84"/>
      <c r="EO288" s="84"/>
      <c r="ES288" s="84"/>
      <c r="EW288" s="84"/>
    </row>
    <row r="289" customFormat="false" ht="12.75" hidden="false" customHeight="false" outlineLevel="0" collapsed="false">
      <c r="A289" s="37"/>
      <c r="E289" s="83"/>
      <c r="J289" s="84"/>
      <c r="N289" s="84"/>
      <c r="R289" s="84"/>
      <c r="V289" s="84"/>
      <c r="Z289" s="84"/>
      <c r="AD289" s="84"/>
      <c r="AH289" s="84"/>
      <c r="AL289" s="84"/>
      <c r="AP289" s="84"/>
      <c r="AT289" s="84"/>
      <c r="AX289" s="84"/>
      <c r="BB289" s="85"/>
      <c r="BC289" s="84"/>
      <c r="BD289" s="84"/>
      <c r="BF289" s="84"/>
      <c r="BL289" s="84"/>
      <c r="BP289" s="86"/>
      <c r="BV289" s="84"/>
      <c r="CA289" s="84"/>
      <c r="CF289" s="84"/>
      <c r="CK289" s="84"/>
      <c r="CP289" s="84"/>
      <c r="CS289" s="86"/>
      <c r="CT289" s="84"/>
      <c r="CW289" s="86"/>
      <c r="CX289" s="84"/>
      <c r="DA289" s="86"/>
      <c r="DB289" s="84"/>
      <c r="DE289" s="86"/>
      <c r="DF289" s="84"/>
      <c r="DI289" s="86"/>
      <c r="DJ289" s="84"/>
      <c r="DM289" s="86"/>
      <c r="DN289" s="84"/>
      <c r="DQ289" s="86"/>
      <c r="DR289" s="85"/>
      <c r="DS289" s="85"/>
      <c r="DT289" s="84"/>
      <c r="DV289" s="84"/>
      <c r="DW289" s="157"/>
      <c r="EB289" s="84"/>
      <c r="EG289" s="84"/>
      <c r="EK289" s="84"/>
      <c r="EO289" s="84"/>
      <c r="ES289" s="84"/>
      <c r="EW289" s="84"/>
    </row>
    <row r="290" customFormat="false" ht="12.75" hidden="false" customHeight="false" outlineLevel="0" collapsed="false">
      <c r="A290" s="37"/>
      <c r="E290" s="83"/>
      <c r="J290" s="84"/>
      <c r="N290" s="84"/>
      <c r="R290" s="84"/>
      <c r="V290" s="84"/>
      <c r="Z290" s="84"/>
      <c r="AD290" s="84"/>
      <c r="AH290" s="84"/>
      <c r="AL290" s="84"/>
      <c r="AP290" s="84"/>
      <c r="AT290" s="84"/>
      <c r="AX290" s="84"/>
      <c r="BB290" s="85"/>
      <c r="BC290" s="84"/>
      <c r="BD290" s="84"/>
      <c r="BF290" s="84"/>
      <c r="BL290" s="84"/>
      <c r="BP290" s="86"/>
      <c r="BV290" s="84"/>
      <c r="CA290" s="84"/>
      <c r="CF290" s="84"/>
      <c r="CK290" s="84"/>
      <c r="CP290" s="84"/>
      <c r="CS290" s="86"/>
      <c r="CT290" s="84"/>
      <c r="CW290" s="86"/>
      <c r="CX290" s="84"/>
      <c r="DA290" s="86"/>
      <c r="DB290" s="84"/>
      <c r="DE290" s="86"/>
      <c r="DF290" s="84"/>
      <c r="DI290" s="86"/>
      <c r="DJ290" s="84"/>
      <c r="DM290" s="86"/>
      <c r="DN290" s="84"/>
      <c r="DQ290" s="86"/>
      <c r="DR290" s="85"/>
      <c r="DS290" s="85"/>
      <c r="DT290" s="84"/>
      <c r="DV290" s="84"/>
      <c r="DW290" s="157"/>
      <c r="EB290" s="84"/>
      <c r="EG290" s="84"/>
      <c r="EK290" s="84"/>
      <c r="EO290" s="84"/>
      <c r="ES290" s="84"/>
      <c r="EW290" s="84"/>
    </row>
    <row r="291" customFormat="false" ht="12.75" hidden="false" customHeight="false" outlineLevel="0" collapsed="false">
      <c r="A291" s="37"/>
      <c r="E291" s="83"/>
      <c r="J291" s="84"/>
      <c r="N291" s="84"/>
      <c r="R291" s="84"/>
      <c r="V291" s="84"/>
      <c r="Z291" s="84"/>
      <c r="AD291" s="84"/>
      <c r="AH291" s="84"/>
      <c r="AL291" s="84"/>
      <c r="AP291" s="84"/>
      <c r="AT291" s="84"/>
      <c r="AX291" s="84"/>
      <c r="BB291" s="85"/>
      <c r="BC291" s="84"/>
      <c r="BD291" s="84"/>
      <c r="BF291" s="84"/>
      <c r="BL291" s="84"/>
      <c r="BP291" s="86"/>
      <c r="BV291" s="84"/>
      <c r="CA291" s="84"/>
      <c r="CF291" s="84"/>
      <c r="CK291" s="84"/>
      <c r="CP291" s="84"/>
      <c r="CS291" s="86"/>
      <c r="CT291" s="84"/>
      <c r="CW291" s="86"/>
      <c r="CX291" s="84"/>
      <c r="DA291" s="86"/>
      <c r="DB291" s="84"/>
      <c r="DE291" s="86"/>
      <c r="DF291" s="84"/>
      <c r="DI291" s="86"/>
      <c r="DJ291" s="84"/>
      <c r="DM291" s="86"/>
      <c r="DN291" s="84"/>
      <c r="DQ291" s="86"/>
      <c r="DR291" s="85"/>
      <c r="DS291" s="85"/>
      <c r="DT291" s="84"/>
      <c r="DV291" s="84"/>
      <c r="DW291" s="157"/>
      <c r="EB291" s="84"/>
      <c r="EG291" s="84"/>
      <c r="EK291" s="84"/>
      <c r="EO291" s="84"/>
      <c r="ES291" s="84"/>
      <c r="EW291" s="84"/>
    </row>
    <row r="292" customFormat="false" ht="12.75" hidden="false" customHeight="false" outlineLevel="0" collapsed="false">
      <c r="A292" s="37"/>
      <c r="E292" s="83"/>
      <c r="J292" s="84"/>
      <c r="N292" s="84"/>
      <c r="R292" s="84"/>
      <c r="V292" s="84"/>
      <c r="Z292" s="84"/>
      <c r="AD292" s="84"/>
      <c r="AH292" s="84"/>
      <c r="AL292" s="84"/>
      <c r="AP292" s="84"/>
      <c r="AT292" s="84"/>
      <c r="AX292" s="84"/>
      <c r="BB292" s="85"/>
      <c r="BC292" s="84"/>
      <c r="BD292" s="84"/>
      <c r="BF292" s="84"/>
      <c r="BL292" s="84"/>
      <c r="BP292" s="86"/>
      <c r="BV292" s="84"/>
      <c r="CA292" s="84"/>
      <c r="CF292" s="84"/>
      <c r="CK292" s="84"/>
      <c r="CP292" s="84"/>
      <c r="CS292" s="86"/>
      <c r="CT292" s="84"/>
      <c r="CW292" s="86"/>
      <c r="CX292" s="84"/>
      <c r="DA292" s="86"/>
      <c r="DB292" s="84"/>
      <c r="DE292" s="86"/>
      <c r="DF292" s="84"/>
      <c r="DI292" s="86"/>
      <c r="DJ292" s="84"/>
      <c r="DM292" s="86"/>
      <c r="DN292" s="84"/>
      <c r="DQ292" s="86"/>
      <c r="DR292" s="85"/>
      <c r="DS292" s="85"/>
      <c r="DT292" s="84"/>
      <c r="DV292" s="84"/>
      <c r="DW292" s="157"/>
      <c r="EB292" s="84"/>
      <c r="EG292" s="84"/>
      <c r="EK292" s="84"/>
      <c r="EO292" s="84"/>
      <c r="ES292" s="84"/>
      <c r="EW292" s="84"/>
    </row>
    <row r="293" customFormat="false" ht="12.75" hidden="false" customHeight="false" outlineLevel="0" collapsed="false">
      <c r="A293" s="37"/>
      <c r="E293" s="83"/>
      <c r="J293" s="84"/>
      <c r="N293" s="84"/>
      <c r="R293" s="84"/>
      <c r="V293" s="84"/>
      <c r="Z293" s="84"/>
      <c r="AD293" s="84"/>
      <c r="AH293" s="84"/>
      <c r="AL293" s="84"/>
      <c r="AP293" s="84"/>
      <c r="AT293" s="84"/>
      <c r="AX293" s="84"/>
      <c r="BB293" s="85"/>
      <c r="BC293" s="84"/>
      <c r="BD293" s="84"/>
      <c r="BF293" s="84"/>
      <c r="BL293" s="84"/>
      <c r="BP293" s="86"/>
      <c r="BV293" s="84"/>
      <c r="CA293" s="84"/>
      <c r="CF293" s="84"/>
      <c r="CK293" s="84"/>
      <c r="CP293" s="84"/>
      <c r="CS293" s="86"/>
      <c r="CT293" s="84"/>
      <c r="CW293" s="86"/>
      <c r="CX293" s="84"/>
      <c r="DA293" s="86"/>
      <c r="DB293" s="84"/>
      <c r="DE293" s="86"/>
      <c r="DF293" s="84"/>
      <c r="DI293" s="86"/>
      <c r="DJ293" s="84"/>
      <c r="DM293" s="86"/>
      <c r="DN293" s="84"/>
      <c r="DQ293" s="86"/>
      <c r="DR293" s="85"/>
      <c r="DS293" s="85"/>
      <c r="DT293" s="84"/>
      <c r="DV293" s="84"/>
      <c r="DW293" s="157"/>
      <c r="EB293" s="84"/>
      <c r="EG293" s="84"/>
      <c r="EK293" s="84"/>
      <c r="EO293" s="84"/>
      <c r="ES293" s="84"/>
      <c r="EW293" s="84"/>
    </row>
    <row r="294" customFormat="false" ht="12.75" hidden="false" customHeight="false" outlineLevel="0" collapsed="false">
      <c r="A294" s="37"/>
      <c r="E294" s="83"/>
      <c r="J294" s="84"/>
      <c r="N294" s="84"/>
      <c r="R294" s="84"/>
      <c r="V294" s="84"/>
      <c r="Z294" s="84"/>
      <c r="AD294" s="84"/>
      <c r="AH294" s="84"/>
      <c r="AL294" s="84"/>
      <c r="AP294" s="84"/>
      <c r="AT294" s="84"/>
      <c r="AX294" s="84"/>
      <c r="BB294" s="85"/>
      <c r="BC294" s="84"/>
      <c r="BD294" s="84"/>
      <c r="BF294" s="84"/>
      <c r="BL294" s="84"/>
      <c r="BP294" s="86"/>
      <c r="BV294" s="84"/>
      <c r="CA294" s="84"/>
      <c r="CF294" s="84"/>
      <c r="CK294" s="84"/>
      <c r="CP294" s="84"/>
      <c r="CS294" s="86"/>
      <c r="CT294" s="84"/>
      <c r="CW294" s="86"/>
      <c r="CX294" s="84"/>
      <c r="DA294" s="86"/>
      <c r="DB294" s="84"/>
      <c r="DE294" s="86"/>
      <c r="DF294" s="84"/>
      <c r="DI294" s="86"/>
      <c r="DJ294" s="84"/>
      <c r="DM294" s="86"/>
      <c r="DN294" s="84"/>
      <c r="DQ294" s="86"/>
      <c r="DR294" s="85"/>
      <c r="DS294" s="85"/>
      <c r="DT294" s="84"/>
      <c r="DV294" s="84"/>
      <c r="DW294" s="157"/>
      <c r="EB294" s="84"/>
      <c r="EG294" s="84"/>
      <c r="EK294" s="84"/>
      <c r="EO294" s="84"/>
      <c r="ES294" s="84"/>
      <c r="EW294" s="84"/>
    </row>
    <row r="295" customFormat="false" ht="12.75" hidden="false" customHeight="false" outlineLevel="0" collapsed="false">
      <c r="A295" s="37"/>
      <c r="E295" s="83"/>
      <c r="J295" s="84"/>
      <c r="N295" s="84"/>
      <c r="R295" s="84"/>
      <c r="V295" s="84"/>
      <c r="Z295" s="84"/>
      <c r="AD295" s="84"/>
      <c r="AH295" s="84"/>
      <c r="AL295" s="84"/>
      <c r="AP295" s="84"/>
      <c r="AT295" s="84"/>
      <c r="AX295" s="84"/>
      <c r="BB295" s="85"/>
      <c r="BC295" s="84"/>
      <c r="BD295" s="84"/>
      <c r="BF295" s="84"/>
      <c r="BL295" s="84"/>
      <c r="BP295" s="86"/>
      <c r="BV295" s="84"/>
      <c r="CA295" s="84"/>
      <c r="CF295" s="84"/>
      <c r="CK295" s="84"/>
      <c r="CP295" s="84"/>
      <c r="CS295" s="86"/>
      <c r="CT295" s="84"/>
      <c r="CW295" s="86"/>
      <c r="CX295" s="84"/>
      <c r="DA295" s="86"/>
      <c r="DB295" s="84"/>
      <c r="DE295" s="86"/>
      <c r="DF295" s="84"/>
      <c r="DI295" s="86"/>
      <c r="DJ295" s="84"/>
      <c r="DM295" s="86"/>
      <c r="DN295" s="84"/>
      <c r="DQ295" s="86"/>
      <c r="DR295" s="85"/>
      <c r="DS295" s="85"/>
      <c r="DT295" s="84"/>
      <c r="DV295" s="84"/>
      <c r="DW295" s="157"/>
      <c r="EB295" s="84"/>
      <c r="EG295" s="84"/>
      <c r="EK295" s="84"/>
      <c r="EO295" s="84"/>
      <c r="ES295" s="84"/>
      <c r="EW295" s="84"/>
    </row>
    <row r="296" customFormat="false" ht="12.75" hidden="false" customHeight="false" outlineLevel="0" collapsed="false">
      <c r="A296" s="37"/>
      <c r="E296" s="83"/>
      <c r="J296" s="84"/>
      <c r="N296" s="84"/>
      <c r="R296" s="84"/>
      <c r="V296" s="84"/>
      <c r="Z296" s="84"/>
      <c r="AD296" s="84"/>
      <c r="AH296" s="84"/>
      <c r="AL296" s="84"/>
      <c r="AP296" s="84"/>
      <c r="AT296" s="84"/>
      <c r="AX296" s="84"/>
      <c r="BB296" s="85"/>
      <c r="BC296" s="84"/>
      <c r="BD296" s="84"/>
      <c r="BF296" s="84"/>
      <c r="BL296" s="84"/>
      <c r="BP296" s="86"/>
      <c r="BV296" s="84"/>
      <c r="CA296" s="84"/>
      <c r="CF296" s="84"/>
      <c r="CK296" s="84"/>
      <c r="CP296" s="84"/>
      <c r="CS296" s="86"/>
      <c r="CT296" s="84"/>
      <c r="CW296" s="86"/>
      <c r="CX296" s="84"/>
      <c r="DA296" s="86"/>
      <c r="DB296" s="84"/>
      <c r="DE296" s="86"/>
      <c r="DF296" s="84"/>
      <c r="DI296" s="86"/>
      <c r="DJ296" s="84"/>
      <c r="DM296" s="86"/>
      <c r="DN296" s="84"/>
      <c r="DQ296" s="86"/>
      <c r="DR296" s="85"/>
      <c r="DS296" s="85"/>
      <c r="DT296" s="84"/>
      <c r="DV296" s="84"/>
      <c r="DW296" s="157"/>
      <c r="EB296" s="84"/>
      <c r="EG296" s="84"/>
      <c r="EK296" s="84"/>
      <c r="EO296" s="84"/>
      <c r="ES296" s="84"/>
      <c r="EW296" s="84"/>
    </row>
    <row r="297" customFormat="false" ht="12.75" hidden="false" customHeight="false" outlineLevel="0" collapsed="false">
      <c r="A297" s="37"/>
      <c r="E297" s="83"/>
      <c r="J297" s="84"/>
      <c r="N297" s="84"/>
      <c r="R297" s="84"/>
      <c r="V297" s="84"/>
      <c r="Z297" s="84"/>
      <c r="AD297" s="84"/>
      <c r="AH297" s="84"/>
      <c r="AL297" s="84"/>
      <c r="AP297" s="84"/>
      <c r="AT297" s="84"/>
      <c r="AX297" s="84"/>
      <c r="BB297" s="85"/>
      <c r="BC297" s="84"/>
      <c r="BD297" s="84"/>
      <c r="BF297" s="84"/>
      <c r="BL297" s="84"/>
      <c r="BP297" s="86"/>
      <c r="BV297" s="84"/>
      <c r="CA297" s="84"/>
      <c r="CF297" s="84"/>
      <c r="CK297" s="84"/>
      <c r="CP297" s="84"/>
      <c r="CS297" s="86"/>
      <c r="CT297" s="84"/>
      <c r="CW297" s="86"/>
      <c r="CX297" s="84"/>
      <c r="DA297" s="86"/>
      <c r="DB297" s="84"/>
      <c r="DE297" s="86"/>
      <c r="DF297" s="84"/>
      <c r="DI297" s="86"/>
      <c r="DJ297" s="84"/>
      <c r="DM297" s="86"/>
      <c r="DN297" s="84"/>
      <c r="DQ297" s="86"/>
      <c r="DR297" s="85"/>
      <c r="DS297" s="85"/>
      <c r="DT297" s="84"/>
      <c r="DV297" s="84"/>
      <c r="DW297" s="157"/>
      <c r="EB297" s="84"/>
      <c r="EG297" s="84"/>
      <c r="EK297" s="84"/>
      <c r="EO297" s="84"/>
      <c r="ES297" s="84"/>
      <c r="EW297" s="84"/>
    </row>
    <row r="298" customFormat="false" ht="12.75" hidden="false" customHeight="false" outlineLevel="0" collapsed="false">
      <c r="A298" s="37"/>
      <c r="E298" s="83"/>
      <c r="J298" s="84"/>
      <c r="N298" s="84"/>
      <c r="R298" s="84"/>
      <c r="V298" s="84"/>
      <c r="Z298" s="84"/>
      <c r="AD298" s="84"/>
      <c r="AH298" s="84"/>
      <c r="AL298" s="84"/>
      <c r="AP298" s="84"/>
      <c r="AT298" s="84"/>
      <c r="AX298" s="84"/>
      <c r="BB298" s="85"/>
      <c r="BC298" s="84"/>
      <c r="BD298" s="84"/>
      <c r="BF298" s="84"/>
      <c r="BL298" s="84"/>
      <c r="BP298" s="86"/>
      <c r="BV298" s="84"/>
      <c r="CA298" s="84"/>
      <c r="CF298" s="84"/>
      <c r="CK298" s="84"/>
      <c r="CP298" s="84"/>
      <c r="CS298" s="86"/>
      <c r="CT298" s="84"/>
      <c r="CW298" s="86"/>
      <c r="CX298" s="84"/>
      <c r="DA298" s="86"/>
      <c r="DB298" s="84"/>
      <c r="DE298" s="86"/>
      <c r="DF298" s="84"/>
      <c r="DI298" s="86"/>
      <c r="DJ298" s="84"/>
      <c r="DM298" s="86"/>
      <c r="DN298" s="84"/>
      <c r="DQ298" s="86"/>
      <c r="DR298" s="85"/>
      <c r="DS298" s="85"/>
      <c r="DT298" s="84"/>
      <c r="DV298" s="84"/>
      <c r="DW298" s="157"/>
      <c r="EB298" s="84"/>
      <c r="EG298" s="84"/>
      <c r="EK298" s="84"/>
      <c r="EO298" s="84"/>
      <c r="ES298" s="84"/>
      <c r="EW298" s="84"/>
    </row>
    <row r="299" customFormat="false" ht="12.75" hidden="false" customHeight="false" outlineLevel="0" collapsed="false">
      <c r="A299" s="37"/>
      <c r="E299" s="83"/>
      <c r="J299" s="84"/>
      <c r="N299" s="84"/>
      <c r="R299" s="84"/>
      <c r="V299" s="84"/>
      <c r="Z299" s="84"/>
      <c r="AD299" s="84"/>
      <c r="AH299" s="84"/>
      <c r="AL299" s="84"/>
      <c r="AP299" s="84"/>
      <c r="AT299" s="84"/>
      <c r="AX299" s="84"/>
      <c r="BB299" s="85"/>
      <c r="BC299" s="84"/>
      <c r="BD299" s="84"/>
      <c r="BF299" s="84"/>
      <c r="BL299" s="84"/>
      <c r="BP299" s="86"/>
      <c r="BV299" s="84"/>
      <c r="CA299" s="84"/>
      <c r="CF299" s="84"/>
      <c r="CK299" s="84"/>
      <c r="CP299" s="84"/>
      <c r="CS299" s="86"/>
      <c r="CT299" s="84"/>
      <c r="CW299" s="86"/>
      <c r="CX299" s="84"/>
      <c r="DA299" s="86"/>
      <c r="DB299" s="84"/>
      <c r="DE299" s="86"/>
      <c r="DF299" s="84"/>
      <c r="DI299" s="86"/>
      <c r="DJ299" s="84"/>
      <c r="DM299" s="86"/>
      <c r="DN299" s="84"/>
      <c r="DQ299" s="86"/>
      <c r="DR299" s="85"/>
      <c r="DS299" s="85"/>
      <c r="DT299" s="84"/>
      <c r="DV299" s="84"/>
      <c r="DW299" s="157"/>
      <c r="EB299" s="84"/>
      <c r="EG299" s="84"/>
      <c r="EK299" s="84"/>
      <c r="EO299" s="84"/>
      <c r="ES299" s="84"/>
      <c r="EW299" s="84"/>
    </row>
    <row r="300" customFormat="false" ht="12.75" hidden="false" customHeight="false" outlineLevel="0" collapsed="false">
      <c r="A300" s="37"/>
      <c r="E300" s="83"/>
      <c r="J300" s="84"/>
      <c r="N300" s="84"/>
      <c r="R300" s="84"/>
      <c r="V300" s="84"/>
      <c r="Z300" s="84"/>
      <c r="AD300" s="84"/>
      <c r="AH300" s="84"/>
      <c r="AL300" s="84"/>
      <c r="AP300" s="84"/>
      <c r="AT300" s="84"/>
      <c r="AX300" s="84"/>
      <c r="BB300" s="85"/>
      <c r="BC300" s="84"/>
      <c r="BD300" s="84"/>
      <c r="BF300" s="84"/>
      <c r="BL300" s="84"/>
      <c r="BP300" s="86"/>
      <c r="BV300" s="84"/>
      <c r="CA300" s="84"/>
      <c r="CF300" s="84"/>
      <c r="CK300" s="84"/>
      <c r="CP300" s="84"/>
      <c r="CS300" s="86"/>
      <c r="CT300" s="84"/>
      <c r="CW300" s="86"/>
      <c r="CX300" s="84"/>
      <c r="DA300" s="86"/>
      <c r="DB300" s="84"/>
      <c r="DE300" s="86"/>
      <c r="DF300" s="84"/>
      <c r="DI300" s="86"/>
      <c r="DJ300" s="84"/>
      <c r="DM300" s="86"/>
      <c r="DN300" s="84"/>
      <c r="DQ300" s="86"/>
      <c r="DR300" s="85"/>
      <c r="DS300" s="85"/>
      <c r="DT300" s="84"/>
      <c r="DV300" s="84"/>
      <c r="DW300" s="157"/>
      <c r="EB300" s="84"/>
      <c r="EG300" s="84"/>
      <c r="EK300" s="84"/>
      <c r="EO300" s="84"/>
      <c r="ES300" s="84"/>
      <c r="EW300" s="84"/>
    </row>
    <row r="301" customFormat="false" ht="12.75" hidden="false" customHeight="false" outlineLevel="0" collapsed="false">
      <c r="A301" s="37"/>
      <c r="E301" s="83"/>
      <c r="J301" s="84"/>
      <c r="N301" s="84"/>
      <c r="R301" s="84"/>
      <c r="V301" s="84"/>
      <c r="Z301" s="84"/>
      <c r="AD301" s="84"/>
      <c r="AH301" s="84"/>
      <c r="AL301" s="84"/>
      <c r="AP301" s="84"/>
      <c r="AT301" s="84"/>
      <c r="AX301" s="84"/>
      <c r="BB301" s="85"/>
      <c r="BC301" s="84"/>
      <c r="BD301" s="84"/>
      <c r="BF301" s="84"/>
      <c r="BL301" s="84"/>
      <c r="BP301" s="86"/>
      <c r="BV301" s="84"/>
      <c r="CA301" s="84"/>
      <c r="CF301" s="84"/>
      <c r="CK301" s="84"/>
      <c r="CP301" s="84"/>
      <c r="CS301" s="86"/>
      <c r="CT301" s="84"/>
      <c r="CW301" s="86"/>
      <c r="CX301" s="84"/>
      <c r="DA301" s="86"/>
      <c r="DB301" s="84"/>
      <c r="DE301" s="86"/>
      <c r="DF301" s="84"/>
      <c r="DI301" s="86"/>
      <c r="DJ301" s="84"/>
      <c r="DM301" s="86"/>
      <c r="DN301" s="84"/>
      <c r="DQ301" s="86"/>
      <c r="DR301" s="85"/>
      <c r="DS301" s="85"/>
      <c r="DT301" s="84"/>
      <c r="DV301" s="84"/>
      <c r="DW301" s="157"/>
      <c r="EB301" s="84"/>
      <c r="EG301" s="84"/>
      <c r="EK301" s="84"/>
      <c r="EO301" s="84"/>
      <c r="ES301" s="84"/>
      <c r="EW301" s="84"/>
    </row>
    <row r="302" customFormat="false" ht="12.75" hidden="false" customHeight="false" outlineLevel="0" collapsed="false">
      <c r="A302" s="37"/>
      <c r="E302" s="83"/>
      <c r="J302" s="84"/>
      <c r="N302" s="84"/>
      <c r="R302" s="84"/>
      <c r="V302" s="84"/>
      <c r="Z302" s="84"/>
      <c r="AD302" s="84"/>
      <c r="AH302" s="84"/>
      <c r="AL302" s="84"/>
      <c r="AP302" s="84"/>
      <c r="AT302" s="84"/>
      <c r="AX302" s="84"/>
      <c r="BB302" s="85"/>
      <c r="BC302" s="84"/>
      <c r="BD302" s="84"/>
      <c r="BF302" s="84"/>
      <c r="BL302" s="84"/>
      <c r="BP302" s="86"/>
      <c r="BV302" s="84"/>
      <c r="CA302" s="84"/>
      <c r="CF302" s="84"/>
      <c r="CK302" s="84"/>
      <c r="CP302" s="84"/>
      <c r="CS302" s="86"/>
      <c r="CT302" s="84"/>
      <c r="CW302" s="86"/>
      <c r="CX302" s="84"/>
      <c r="DA302" s="86"/>
      <c r="DB302" s="84"/>
      <c r="DE302" s="86"/>
      <c r="DF302" s="84"/>
      <c r="DI302" s="86"/>
      <c r="DJ302" s="84"/>
      <c r="DM302" s="86"/>
      <c r="DN302" s="84"/>
      <c r="DQ302" s="86"/>
      <c r="DR302" s="85"/>
      <c r="DS302" s="85"/>
      <c r="DT302" s="84"/>
      <c r="DV302" s="84"/>
      <c r="DW302" s="157"/>
      <c r="EB302" s="84"/>
      <c r="EG302" s="84"/>
      <c r="EK302" s="84"/>
      <c r="EO302" s="84"/>
      <c r="ES302" s="84"/>
      <c r="EW302" s="84"/>
    </row>
    <row r="303" customFormat="false" ht="12.75" hidden="false" customHeight="false" outlineLevel="0" collapsed="false">
      <c r="A303" s="37"/>
      <c r="E303" s="83"/>
      <c r="J303" s="84"/>
      <c r="N303" s="84"/>
      <c r="R303" s="84"/>
      <c r="V303" s="84"/>
      <c r="Z303" s="84"/>
      <c r="AD303" s="84"/>
      <c r="AH303" s="84"/>
      <c r="AL303" s="84"/>
      <c r="AP303" s="84"/>
      <c r="AT303" s="84"/>
      <c r="AX303" s="84"/>
      <c r="BB303" s="85"/>
      <c r="BC303" s="84"/>
      <c r="BD303" s="84"/>
      <c r="BF303" s="84"/>
      <c r="BL303" s="84"/>
      <c r="BP303" s="86"/>
      <c r="BV303" s="84"/>
      <c r="CA303" s="84"/>
      <c r="CF303" s="84"/>
      <c r="CK303" s="84"/>
      <c r="CP303" s="84"/>
      <c r="CS303" s="86"/>
      <c r="CT303" s="84"/>
      <c r="CW303" s="86"/>
      <c r="CX303" s="84"/>
      <c r="DA303" s="86"/>
      <c r="DB303" s="84"/>
      <c r="DE303" s="86"/>
      <c r="DF303" s="84"/>
      <c r="DI303" s="86"/>
      <c r="DJ303" s="84"/>
      <c r="DM303" s="86"/>
      <c r="DN303" s="84"/>
      <c r="DQ303" s="86"/>
      <c r="DR303" s="85"/>
      <c r="DS303" s="85"/>
      <c r="DT303" s="84"/>
      <c r="DV303" s="84"/>
      <c r="DW303" s="157"/>
      <c r="EB303" s="84"/>
      <c r="EG303" s="84"/>
      <c r="EK303" s="84"/>
      <c r="EO303" s="84"/>
      <c r="ES303" s="84"/>
      <c r="EW303" s="84"/>
    </row>
    <row r="304" customFormat="false" ht="12.75" hidden="false" customHeight="false" outlineLevel="0" collapsed="false">
      <c r="A304" s="37"/>
      <c r="E304" s="83"/>
      <c r="J304" s="84"/>
      <c r="N304" s="84"/>
      <c r="R304" s="84"/>
      <c r="V304" s="84"/>
      <c r="Z304" s="84"/>
      <c r="AD304" s="84"/>
      <c r="AH304" s="84"/>
      <c r="AL304" s="84"/>
      <c r="AP304" s="84"/>
      <c r="AT304" s="84"/>
      <c r="AX304" s="84"/>
      <c r="BB304" s="85"/>
      <c r="BC304" s="84"/>
      <c r="BD304" s="84"/>
      <c r="BF304" s="84"/>
      <c r="BL304" s="84"/>
      <c r="BP304" s="86"/>
      <c r="BV304" s="84"/>
      <c r="CA304" s="84"/>
      <c r="CF304" s="84"/>
      <c r="CK304" s="84"/>
      <c r="CP304" s="84"/>
      <c r="CS304" s="86"/>
      <c r="CT304" s="84"/>
      <c r="CW304" s="86"/>
      <c r="CX304" s="84"/>
      <c r="DA304" s="86"/>
      <c r="DB304" s="84"/>
      <c r="DE304" s="86"/>
      <c r="DF304" s="84"/>
      <c r="DI304" s="86"/>
      <c r="DJ304" s="84"/>
      <c r="DM304" s="86"/>
      <c r="DN304" s="84"/>
      <c r="DQ304" s="86"/>
      <c r="DR304" s="85"/>
      <c r="DS304" s="85"/>
      <c r="DT304" s="84"/>
      <c r="DV304" s="84"/>
      <c r="DW304" s="157"/>
      <c r="EB304" s="84"/>
      <c r="EG304" s="84"/>
      <c r="EK304" s="84"/>
      <c r="EO304" s="84"/>
      <c r="ES304" s="84"/>
      <c r="EW304" s="84"/>
    </row>
    <row r="305" customFormat="false" ht="12.75" hidden="false" customHeight="false" outlineLevel="0" collapsed="false">
      <c r="A305" s="37"/>
      <c r="E305" s="83"/>
      <c r="J305" s="84"/>
      <c r="N305" s="84"/>
      <c r="R305" s="84"/>
      <c r="V305" s="84"/>
      <c r="Z305" s="84"/>
      <c r="AD305" s="84"/>
      <c r="AH305" s="84"/>
      <c r="AL305" s="84"/>
      <c r="AP305" s="84"/>
      <c r="AT305" s="84"/>
      <c r="AX305" s="84"/>
      <c r="BB305" s="85"/>
      <c r="BC305" s="84"/>
      <c r="BD305" s="84"/>
      <c r="BF305" s="84"/>
      <c r="BL305" s="84"/>
      <c r="BP305" s="86"/>
      <c r="BV305" s="84"/>
      <c r="CA305" s="84"/>
      <c r="CF305" s="84"/>
      <c r="CK305" s="84"/>
      <c r="CP305" s="84"/>
      <c r="CS305" s="86"/>
      <c r="CT305" s="84"/>
      <c r="CW305" s="86"/>
      <c r="CX305" s="84"/>
      <c r="DA305" s="86"/>
      <c r="DB305" s="84"/>
      <c r="DE305" s="86"/>
      <c r="DF305" s="84"/>
      <c r="DI305" s="86"/>
      <c r="DJ305" s="84"/>
      <c r="DM305" s="86"/>
      <c r="DN305" s="84"/>
      <c r="DQ305" s="86"/>
      <c r="DR305" s="85"/>
      <c r="DS305" s="85"/>
      <c r="DT305" s="84"/>
      <c r="DV305" s="84"/>
      <c r="DW305" s="157"/>
      <c r="EB305" s="84"/>
      <c r="EG305" s="84"/>
      <c r="EK305" s="84"/>
      <c r="EO305" s="84"/>
      <c r="ES305" s="84"/>
      <c r="EW305" s="84"/>
    </row>
    <row r="306" customFormat="false" ht="12.75" hidden="false" customHeight="false" outlineLevel="0" collapsed="false">
      <c r="A306" s="37"/>
      <c r="E306" s="83"/>
      <c r="J306" s="84"/>
      <c r="N306" s="84"/>
      <c r="R306" s="84"/>
      <c r="V306" s="84"/>
      <c r="Z306" s="84"/>
      <c r="AD306" s="84"/>
      <c r="AH306" s="84"/>
      <c r="AL306" s="84"/>
      <c r="AP306" s="84"/>
      <c r="AT306" s="84"/>
      <c r="AX306" s="84"/>
      <c r="BB306" s="85"/>
      <c r="BC306" s="84"/>
      <c r="BD306" s="84"/>
      <c r="BF306" s="84"/>
      <c r="BL306" s="84"/>
      <c r="BP306" s="86"/>
      <c r="BV306" s="84"/>
      <c r="CA306" s="84"/>
      <c r="CF306" s="84"/>
      <c r="CK306" s="84"/>
      <c r="CP306" s="84"/>
      <c r="CS306" s="86"/>
      <c r="CT306" s="84"/>
      <c r="CW306" s="86"/>
      <c r="CX306" s="84"/>
      <c r="DA306" s="86"/>
      <c r="DB306" s="84"/>
      <c r="DE306" s="86"/>
      <c r="DF306" s="84"/>
      <c r="DI306" s="86"/>
      <c r="DJ306" s="84"/>
      <c r="DM306" s="86"/>
      <c r="DN306" s="84"/>
      <c r="DQ306" s="86"/>
      <c r="DR306" s="85"/>
      <c r="DS306" s="85"/>
      <c r="DT306" s="84"/>
      <c r="DV306" s="84"/>
      <c r="DW306" s="157"/>
      <c r="EB306" s="84"/>
      <c r="EG306" s="84"/>
      <c r="EK306" s="84"/>
      <c r="EO306" s="84"/>
      <c r="ES306" s="84"/>
      <c r="EW306" s="84"/>
    </row>
    <row r="307" customFormat="false" ht="12.75" hidden="false" customHeight="false" outlineLevel="0" collapsed="false">
      <c r="A307" s="37"/>
      <c r="E307" s="83"/>
      <c r="J307" s="84"/>
      <c r="N307" s="84"/>
      <c r="R307" s="84"/>
      <c r="V307" s="84"/>
      <c r="Z307" s="84"/>
      <c r="AD307" s="84"/>
      <c r="AH307" s="84"/>
      <c r="AL307" s="84"/>
      <c r="AP307" s="84"/>
      <c r="AT307" s="84"/>
      <c r="AX307" s="84"/>
      <c r="BB307" s="85"/>
      <c r="BC307" s="84"/>
      <c r="BD307" s="84"/>
      <c r="BF307" s="84"/>
      <c r="BL307" s="84"/>
      <c r="BP307" s="86"/>
      <c r="BV307" s="84"/>
      <c r="CA307" s="84"/>
      <c r="CF307" s="84"/>
      <c r="CK307" s="84"/>
      <c r="CP307" s="84"/>
      <c r="CS307" s="86"/>
      <c r="CT307" s="84"/>
      <c r="CW307" s="86"/>
      <c r="CX307" s="84"/>
      <c r="DA307" s="86"/>
      <c r="DB307" s="84"/>
      <c r="DE307" s="86"/>
      <c r="DF307" s="84"/>
      <c r="DI307" s="86"/>
      <c r="DJ307" s="84"/>
      <c r="DM307" s="86"/>
      <c r="DN307" s="84"/>
      <c r="DQ307" s="86"/>
      <c r="DR307" s="85"/>
      <c r="DS307" s="85"/>
      <c r="DT307" s="84"/>
      <c r="DV307" s="84"/>
      <c r="DW307" s="157"/>
      <c r="EB307" s="84"/>
      <c r="EG307" s="84"/>
      <c r="EK307" s="84"/>
      <c r="EO307" s="84"/>
      <c r="ES307" s="84"/>
      <c r="EW307" s="84"/>
    </row>
    <row r="308" customFormat="false" ht="12.75" hidden="false" customHeight="false" outlineLevel="0" collapsed="false">
      <c r="A308" s="37"/>
      <c r="E308" s="83"/>
      <c r="J308" s="84"/>
      <c r="N308" s="84"/>
      <c r="R308" s="84"/>
      <c r="V308" s="84"/>
      <c r="Z308" s="84"/>
      <c r="AD308" s="84"/>
      <c r="AH308" s="84"/>
      <c r="AL308" s="84"/>
      <c r="AP308" s="84"/>
      <c r="AT308" s="84"/>
      <c r="AX308" s="84"/>
      <c r="BB308" s="85"/>
      <c r="BC308" s="84"/>
      <c r="BD308" s="84"/>
      <c r="BF308" s="84"/>
      <c r="BL308" s="84"/>
      <c r="BP308" s="86"/>
      <c r="BV308" s="84"/>
      <c r="CA308" s="84"/>
      <c r="CF308" s="84"/>
      <c r="CK308" s="84"/>
      <c r="CP308" s="84"/>
      <c r="CS308" s="86"/>
      <c r="CT308" s="84"/>
      <c r="CW308" s="86"/>
      <c r="CX308" s="84"/>
      <c r="DA308" s="86"/>
      <c r="DB308" s="84"/>
      <c r="DE308" s="86"/>
      <c r="DF308" s="84"/>
      <c r="DI308" s="86"/>
      <c r="DJ308" s="84"/>
      <c r="DM308" s="86"/>
      <c r="DN308" s="84"/>
      <c r="DQ308" s="86"/>
      <c r="DR308" s="85"/>
      <c r="DS308" s="85"/>
      <c r="DT308" s="84"/>
      <c r="DV308" s="84"/>
      <c r="DW308" s="157"/>
      <c r="EB308" s="84"/>
      <c r="EG308" s="84"/>
      <c r="EK308" s="84"/>
      <c r="EO308" s="84"/>
      <c r="ES308" s="84"/>
      <c r="EW308" s="84"/>
    </row>
    <row r="309" customFormat="false" ht="12.75" hidden="false" customHeight="false" outlineLevel="0" collapsed="false">
      <c r="A309" s="37"/>
      <c r="E309" s="83"/>
      <c r="J309" s="84"/>
      <c r="N309" s="84"/>
      <c r="R309" s="84"/>
      <c r="V309" s="84"/>
      <c r="Z309" s="84"/>
      <c r="AD309" s="84"/>
      <c r="AH309" s="84"/>
      <c r="AL309" s="84"/>
      <c r="AP309" s="84"/>
      <c r="AT309" s="84"/>
      <c r="AX309" s="84"/>
      <c r="BB309" s="85"/>
      <c r="BC309" s="84"/>
      <c r="BD309" s="84"/>
      <c r="BF309" s="84"/>
      <c r="BL309" s="84"/>
      <c r="BP309" s="86"/>
      <c r="BV309" s="84"/>
      <c r="CA309" s="84"/>
      <c r="CF309" s="84"/>
      <c r="CK309" s="84"/>
      <c r="CP309" s="84"/>
      <c r="CS309" s="86"/>
      <c r="CT309" s="84"/>
      <c r="CW309" s="86"/>
      <c r="CX309" s="84"/>
      <c r="DA309" s="86"/>
      <c r="DB309" s="84"/>
      <c r="DE309" s="86"/>
      <c r="DF309" s="84"/>
      <c r="DI309" s="86"/>
      <c r="DJ309" s="84"/>
      <c r="DM309" s="86"/>
      <c r="DN309" s="84"/>
      <c r="DQ309" s="86"/>
      <c r="DR309" s="85"/>
      <c r="DS309" s="85"/>
      <c r="DT309" s="84"/>
      <c r="DV309" s="84"/>
      <c r="DW309" s="157"/>
      <c r="EB309" s="84"/>
      <c r="EG309" s="84"/>
      <c r="EK309" s="84"/>
      <c r="EO309" s="84"/>
      <c r="ES309" s="84"/>
      <c r="EW309" s="84"/>
    </row>
    <row r="310" customFormat="false" ht="12.75" hidden="false" customHeight="false" outlineLevel="0" collapsed="false">
      <c r="A310" s="37"/>
      <c r="E310" s="83"/>
      <c r="J310" s="84"/>
      <c r="N310" s="84"/>
      <c r="R310" s="84"/>
      <c r="V310" s="84"/>
      <c r="Z310" s="84"/>
      <c r="AD310" s="84"/>
      <c r="AH310" s="84"/>
      <c r="AL310" s="84"/>
      <c r="AP310" s="84"/>
      <c r="AT310" s="84"/>
      <c r="AX310" s="84"/>
      <c r="BB310" s="85"/>
      <c r="BC310" s="84"/>
      <c r="BD310" s="84"/>
      <c r="BF310" s="84"/>
      <c r="BL310" s="84"/>
      <c r="BP310" s="86"/>
      <c r="BV310" s="84"/>
      <c r="CA310" s="84"/>
      <c r="CF310" s="84"/>
      <c r="CK310" s="84"/>
      <c r="CP310" s="84"/>
      <c r="CS310" s="86"/>
      <c r="CT310" s="84"/>
      <c r="CW310" s="86"/>
      <c r="CX310" s="84"/>
      <c r="DA310" s="86"/>
      <c r="DB310" s="84"/>
      <c r="DE310" s="86"/>
      <c r="DF310" s="84"/>
      <c r="DI310" s="86"/>
      <c r="DJ310" s="84"/>
      <c r="DM310" s="86"/>
      <c r="DN310" s="84"/>
      <c r="DQ310" s="86"/>
      <c r="DR310" s="85"/>
      <c r="DS310" s="85"/>
      <c r="DT310" s="84"/>
      <c r="DV310" s="84"/>
      <c r="DW310" s="157"/>
      <c r="EB310" s="84"/>
      <c r="EG310" s="84"/>
      <c r="EK310" s="84"/>
      <c r="EO310" s="84"/>
      <c r="ES310" s="84"/>
      <c r="EW310" s="84"/>
    </row>
    <row r="311" customFormat="false" ht="12.75" hidden="false" customHeight="false" outlineLevel="0" collapsed="false">
      <c r="A311" s="37"/>
      <c r="E311" s="83"/>
      <c r="J311" s="84"/>
      <c r="N311" s="84"/>
      <c r="R311" s="84"/>
      <c r="V311" s="84"/>
      <c r="Z311" s="84"/>
      <c r="AD311" s="84"/>
      <c r="AH311" s="84"/>
      <c r="AL311" s="84"/>
      <c r="AP311" s="84"/>
      <c r="AT311" s="84"/>
      <c r="AX311" s="84"/>
      <c r="BB311" s="85"/>
      <c r="BC311" s="84"/>
      <c r="BD311" s="84"/>
      <c r="BF311" s="84"/>
      <c r="BL311" s="84"/>
      <c r="BP311" s="86"/>
      <c r="BV311" s="84"/>
      <c r="CA311" s="84"/>
      <c r="CF311" s="84"/>
      <c r="CK311" s="84"/>
      <c r="CP311" s="84"/>
      <c r="CS311" s="86"/>
      <c r="CT311" s="84"/>
      <c r="CW311" s="86"/>
      <c r="CX311" s="84"/>
      <c r="DA311" s="86"/>
      <c r="DB311" s="84"/>
      <c r="DE311" s="86"/>
      <c r="DF311" s="84"/>
      <c r="DI311" s="86"/>
      <c r="DJ311" s="84"/>
      <c r="DM311" s="86"/>
      <c r="DN311" s="84"/>
      <c r="DQ311" s="86"/>
      <c r="DR311" s="85"/>
      <c r="DS311" s="85"/>
      <c r="DT311" s="84"/>
      <c r="DV311" s="84"/>
      <c r="DW311" s="157"/>
      <c r="EB311" s="84"/>
      <c r="EG311" s="84"/>
      <c r="EK311" s="84"/>
      <c r="EO311" s="84"/>
      <c r="ES311" s="84"/>
      <c r="EW311" s="84"/>
    </row>
    <row r="312" customFormat="false" ht="12.75" hidden="false" customHeight="false" outlineLevel="0" collapsed="false">
      <c r="A312" s="37"/>
      <c r="E312" s="83"/>
      <c r="J312" s="84"/>
      <c r="N312" s="84"/>
      <c r="R312" s="84"/>
      <c r="V312" s="84"/>
      <c r="Z312" s="84"/>
      <c r="AD312" s="84"/>
      <c r="AH312" s="84"/>
      <c r="AL312" s="84"/>
      <c r="AP312" s="84"/>
      <c r="AT312" s="84"/>
      <c r="AX312" s="84"/>
      <c r="BB312" s="85"/>
      <c r="BC312" s="84"/>
      <c r="BD312" s="84"/>
      <c r="BF312" s="84"/>
      <c r="BL312" s="84"/>
      <c r="BP312" s="86"/>
      <c r="BV312" s="84"/>
      <c r="CA312" s="84"/>
      <c r="CF312" s="84"/>
      <c r="CK312" s="84"/>
      <c r="CP312" s="84"/>
      <c r="CS312" s="86"/>
      <c r="CT312" s="84"/>
      <c r="CW312" s="86"/>
      <c r="CX312" s="84"/>
      <c r="DA312" s="86"/>
      <c r="DB312" s="84"/>
      <c r="DE312" s="86"/>
      <c r="DF312" s="84"/>
      <c r="DI312" s="86"/>
      <c r="DJ312" s="84"/>
      <c r="DM312" s="86"/>
      <c r="DN312" s="84"/>
      <c r="DQ312" s="86"/>
      <c r="DR312" s="85"/>
      <c r="DS312" s="85"/>
      <c r="DT312" s="84"/>
      <c r="DV312" s="84"/>
      <c r="DW312" s="157"/>
      <c r="EB312" s="84"/>
      <c r="EG312" s="84"/>
      <c r="EK312" s="84"/>
      <c r="EO312" s="84"/>
      <c r="ES312" s="84"/>
      <c r="EW312" s="84"/>
    </row>
    <row r="313" customFormat="false" ht="12.75" hidden="false" customHeight="false" outlineLevel="0" collapsed="false">
      <c r="A313" s="37"/>
      <c r="E313" s="83"/>
      <c r="J313" s="84"/>
      <c r="N313" s="84"/>
      <c r="R313" s="84"/>
      <c r="V313" s="84"/>
      <c r="Z313" s="84"/>
      <c r="AD313" s="84"/>
      <c r="AH313" s="84"/>
      <c r="AL313" s="84"/>
      <c r="AP313" s="84"/>
      <c r="AT313" s="84"/>
      <c r="AX313" s="84"/>
      <c r="BB313" s="85"/>
      <c r="BC313" s="84"/>
      <c r="BD313" s="84"/>
      <c r="BF313" s="84"/>
      <c r="BL313" s="84"/>
      <c r="BP313" s="86"/>
      <c r="BV313" s="84"/>
      <c r="CA313" s="84"/>
      <c r="CF313" s="84"/>
      <c r="CK313" s="84"/>
      <c r="CP313" s="84"/>
      <c r="CS313" s="86"/>
      <c r="CT313" s="84"/>
      <c r="CW313" s="86"/>
      <c r="CX313" s="84"/>
      <c r="DA313" s="86"/>
      <c r="DB313" s="84"/>
      <c r="DE313" s="86"/>
      <c r="DF313" s="84"/>
      <c r="DI313" s="86"/>
      <c r="DJ313" s="84"/>
      <c r="DM313" s="86"/>
      <c r="DN313" s="84"/>
      <c r="DQ313" s="86"/>
      <c r="DR313" s="85"/>
      <c r="DS313" s="85"/>
      <c r="DT313" s="84"/>
      <c r="DV313" s="84"/>
      <c r="DW313" s="157"/>
      <c r="EB313" s="84"/>
      <c r="EG313" s="84"/>
      <c r="EK313" s="84"/>
      <c r="EO313" s="84"/>
      <c r="ES313" s="84"/>
      <c r="EW313" s="84"/>
    </row>
    <row r="314" customFormat="false" ht="12.75" hidden="false" customHeight="false" outlineLevel="0" collapsed="false">
      <c r="A314" s="37"/>
      <c r="E314" s="83"/>
      <c r="J314" s="84"/>
      <c r="N314" s="84"/>
      <c r="R314" s="84"/>
      <c r="V314" s="84"/>
      <c r="Z314" s="84"/>
      <c r="AD314" s="84"/>
      <c r="AH314" s="84"/>
      <c r="AL314" s="84"/>
      <c r="AP314" s="84"/>
      <c r="AT314" s="84"/>
      <c r="AX314" s="84"/>
      <c r="BB314" s="85"/>
      <c r="BC314" s="84"/>
      <c r="BD314" s="84"/>
      <c r="BF314" s="84"/>
      <c r="BL314" s="84"/>
      <c r="BP314" s="86"/>
      <c r="BV314" s="84"/>
      <c r="CA314" s="84"/>
      <c r="CF314" s="84"/>
      <c r="CK314" s="84"/>
      <c r="CP314" s="84"/>
      <c r="CS314" s="86"/>
      <c r="CT314" s="84"/>
      <c r="CW314" s="86"/>
      <c r="CX314" s="84"/>
      <c r="DA314" s="86"/>
      <c r="DB314" s="84"/>
      <c r="DE314" s="86"/>
      <c r="DF314" s="84"/>
      <c r="DI314" s="86"/>
      <c r="DJ314" s="84"/>
      <c r="DM314" s="86"/>
      <c r="DN314" s="84"/>
      <c r="DQ314" s="86"/>
      <c r="DR314" s="85"/>
      <c r="DS314" s="85"/>
      <c r="DT314" s="84"/>
      <c r="DV314" s="84"/>
      <c r="DW314" s="157"/>
      <c r="EB314" s="84"/>
      <c r="EG314" s="84"/>
      <c r="EK314" s="84"/>
      <c r="EO314" s="84"/>
      <c r="ES314" s="84"/>
      <c r="EW314" s="84"/>
    </row>
    <row r="315" customFormat="false" ht="12.75" hidden="false" customHeight="false" outlineLevel="0" collapsed="false">
      <c r="A315" s="37"/>
      <c r="E315" s="83"/>
      <c r="J315" s="84"/>
      <c r="N315" s="84"/>
      <c r="R315" s="84"/>
      <c r="V315" s="84"/>
      <c r="Z315" s="84"/>
      <c r="AD315" s="84"/>
      <c r="AH315" s="84"/>
      <c r="AL315" s="84"/>
      <c r="AP315" s="84"/>
      <c r="AT315" s="84"/>
      <c r="AX315" s="84"/>
      <c r="BB315" s="85"/>
      <c r="BC315" s="84"/>
      <c r="BD315" s="84"/>
      <c r="BF315" s="84"/>
      <c r="BL315" s="84"/>
      <c r="BP315" s="86"/>
      <c r="BV315" s="84"/>
      <c r="CA315" s="84"/>
      <c r="CF315" s="84"/>
      <c r="CK315" s="84"/>
      <c r="CP315" s="84"/>
      <c r="CS315" s="86"/>
      <c r="CT315" s="84"/>
      <c r="CW315" s="86"/>
      <c r="CX315" s="84"/>
      <c r="DA315" s="86"/>
      <c r="DB315" s="84"/>
      <c r="DE315" s="86"/>
      <c r="DF315" s="84"/>
      <c r="DI315" s="86"/>
      <c r="DJ315" s="84"/>
      <c r="DM315" s="86"/>
      <c r="DN315" s="84"/>
      <c r="DQ315" s="86"/>
      <c r="DR315" s="85"/>
      <c r="DS315" s="85"/>
      <c r="DT315" s="84"/>
      <c r="DV315" s="84"/>
      <c r="DW315" s="157"/>
      <c r="EB315" s="84"/>
      <c r="EG315" s="84"/>
      <c r="EK315" s="84"/>
      <c r="EO315" s="84"/>
      <c r="ES315" s="84"/>
      <c r="EW315" s="84"/>
    </row>
    <row r="316" customFormat="false" ht="12.75" hidden="false" customHeight="false" outlineLevel="0" collapsed="false">
      <c r="A316" s="37"/>
      <c r="E316" s="83"/>
      <c r="J316" s="84"/>
      <c r="N316" s="84"/>
      <c r="R316" s="84"/>
      <c r="V316" s="84"/>
      <c r="Z316" s="84"/>
      <c r="AD316" s="84"/>
      <c r="AH316" s="84"/>
      <c r="AL316" s="84"/>
      <c r="AP316" s="84"/>
      <c r="AT316" s="84"/>
      <c r="AX316" s="84"/>
      <c r="BB316" s="85"/>
      <c r="BC316" s="84"/>
      <c r="BD316" s="84"/>
      <c r="BF316" s="84"/>
      <c r="BL316" s="84"/>
      <c r="BP316" s="86"/>
      <c r="BV316" s="84"/>
      <c r="CA316" s="84"/>
      <c r="CF316" s="84"/>
      <c r="CK316" s="84"/>
      <c r="CP316" s="84"/>
      <c r="CS316" s="86"/>
      <c r="CT316" s="84"/>
      <c r="CW316" s="86"/>
      <c r="CX316" s="84"/>
      <c r="DA316" s="86"/>
      <c r="DB316" s="84"/>
      <c r="DE316" s="86"/>
      <c r="DF316" s="84"/>
      <c r="DI316" s="86"/>
      <c r="DJ316" s="84"/>
      <c r="DM316" s="86"/>
      <c r="DN316" s="84"/>
      <c r="DQ316" s="86"/>
      <c r="DR316" s="85"/>
      <c r="DS316" s="85"/>
      <c r="DT316" s="84"/>
      <c r="DV316" s="84"/>
      <c r="DW316" s="157"/>
      <c r="EB316" s="84"/>
      <c r="EG316" s="84"/>
      <c r="EK316" s="84"/>
      <c r="EO316" s="84"/>
      <c r="ES316" s="84"/>
      <c r="EW316" s="84"/>
    </row>
    <row r="317" customFormat="false" ht="12.75" hidden="false" customHeight="false" outlineLevel="0" collapsed="false">
      <c r="A317" s="37"/>
      <c r="E317" s="83"/>
      <c r="J317" s="84"/>
      <c r="N317" s="84"/>
      <c r="R317" s="84"/>
      <c r="V317" s="84"/>
      <c r="Z317" s="84"/>
      <c r="AD317" s="84"/>
      <c r="AH317" s="84"/>
      <c r="AL317" s="84"/>
      <c r="AP317" s="84"/>
      <c r="AT317" s="84"/>
      <c r="AX317" s="84"/>
      <c r="BB317" s="85"/>
      <c r="BC317" s="84"/>
      <c r="BD317" s="84"/>
      <c r="BF317" s="84"/>
      <c r="BL317" s="84"/>
      <c r="BP317" s="86"/>
      <c r="BV317" s="84"/>
      <c r="CA317" s="84"/>
      <c r="CF317" s="84"/>
      <c r="CK317" s="84"/>
      <c r="CP317" s="84"/>
      <c r="CS317" s="86"/>
      <c r="CT317" s="84"/>
      <c r="CW317" s="86"/>
      <c r="CX317" s="84"/>
      <c r="DA317" s="86"/>
      <c r="DB317" s="84"/>
      <c r="DE317" s="86"/>
      <c r="DF317" s="84"/>
      <c r="DI317" s="86"/>
      <c r="DJ317" s="84"/>
      <c r="DM317" s="86"/>
      <c r="DN317" s="84"/>
      <c r="DQ317" s="86"/>
      <c r="DR317" s="85"/>
      <c r="DS317" s="85"/>
      <c r="DT317" s="84"/>
      <c r="DV317" s="84"/>
      <c r="DW317" s="157"/>
      <c r="EB317" s="84"/>
      <c r="EG317" s="84"/>
      <c r="EK317" s="84"/>
      <c r="EO317" s="84"/>
      <c r="ES317" s="84"/>
      <c r="EW317" s="84"/>
    </row>
    <row r="318" customFormat="false" ht="12.75" hidden="false" customHeight="false" outlineLevel="0" collapsed="false">
      <c r="A318" s="37"/>
      <c r="E318" s="83"/>
      <c r="J318" s="84"/>
      <c r="N318" s="84"/>
      <c r="R318" s="84"/>
      <c r="V318" s="84"/>
      <c r="Z318" s="84"/>
      <c r="AD318" s="84"/>
      <c r="AH318" s="84"/>
      <c r="AL318" s="84"/>
      <c r="AP318" s="84"/>
      <c r="AT318" s="84"/>
      <c r="AX318" s="84"/>
      <c r="BB318" s="85"/>
      <c r="BC318" s="84"/>
      <c r="BD318" s="84"/>
      <c r="BF318" s="84"/>
      <c r="BL318" s="84"/>
      <c r="BP318" s="86"/>
      <c r="BV318" s="84"/>
      <c r="CA318" s="84"/>
      <c r="CF318" s="84"/>
      <c r="CK318" s="84"/>
      <c r="CP318" s="84"/>
      <c r="CS318" s="86"/>
      <c r="CT318" s="84"/>
      <c r="CW318" s="86"/>
      <c r="CX318" s="84"/>
      <c r="DA318" s="86"/>
      <c r="DB318" s="84"/>
      <c r="DE318" s="86"/>
      <c r="DF318" s="84"/>
      <c r="DI318" s="86"/>
      <c r="DJ318" s="84"/>
      <c r="DM318" s="86"/>
      <c r="DN318" s="84"/>
      <c r="DQ318" s="86"/>
      <c r="DR318" s="85"/>
      <c r="DS318" s="85"/>
      <c r="DT318" s="84"/>
      <c r="DV318" s="84"/>
      <c r="DW318" s="157"/>
      <c r="EB318" s="84"/>
      <c r="EG318" s="84"/>
      <c r="EK318" s="84"/>
      <c r="EO318" s="84"/>
      <c r="ES318" s="84"/>
      <c r="EW318" s="84"/>
    </row>
    <row r="319" customFormat="false" ht="12.75" hidden="false" customHeight="false" outlineLevel="0" collapsed="false">
      <c r="A319" s="37"/>
      <c r="E319" s="83"/>
      <c r="J319" s="84"/>
      <c r="N319" s="84"/>
      <c r="R319" s="84"/>
      <c r="V319" s="84"/>
      <c r="Z319" s="84"/>
      <c r="AD319" s="84"/>
      <c r="AH319" s="84"/>
      <c r="AL319" s="84"/>
      <c r="AP319" s="84"/>
      <c r="AT319" s="84"/>
      <c r="AX319" s="84"/>
      <c r="BB319" s="85"/>
      <c r="BC319" s="84"/>
      <c r="BD319" s="84"/>
      <c r="BF319" s="84"/>
      <c r="BL319" s="84"/>
      <c r="BP319" s="86"/>
      <c r="BV319" s="84"/>
      <c r="CA319" s="84"/>
      <c r="CF319" s="84"/>
      <c r="CK319" s="84"/>
      <c r="CP319" s="84"/>
      <c r="CS319" s="86"/>
      <c r="CT319" s="84"/>
      <c r="CW319" s="86"/>
      <c r="CX319" s="84"/>
      <c r="DA319" s="86"/>
      <c r="DB319" s="84"/>
      <c r="DE319" s="86"/>
      <c r="DF319" s="84"/>
      <c r="DI319" s="86"/>
      <c r="DJ319" s="84"/>
      <c r="DM319" s="86"/>
      <c r="DN319" s="84"/>
      <c r="DQ319" s="86"/>
      <c r="DR319" s="85"/>
      <c r="DS319" s="85"/>
      <c r="DT319" s="84"/>
      <c r="DV319" s="84"/>
      <c r="DW319" s="157"/>
      <c r="EB319" s="84"/>
      <c r="EG319" s="84"/>
      <c r="EK319" s="84"/>
      <c r="EO319" s="84"/>
      <c r="ES319" s="84"/>
      <c r="EW319" s="84"/>
    </row>
    <row r="320" customFormat="false" ht="12.75" hidden="false" customHeight="false" outlineLevel="0" collapsed="false">
      <c r="A320" s="37"/>
      <c r="E320" s="83"/>
      <c r="J320" s="84"/>
      <c r="N320" s="84"/>
      <c r="R320" s="84"/>
      <c r="V320" s="84"/>
      <c r="Z320" s="84"/>
      <c r="AD320" s="84"/>
      <c r="AH320" s="84"/>
      <c r="AL320" s="84"/>
      <c r="AP320" s="84"/>
      <c r="AT320" s="84"/>
      <c r="AX320" s="84"/>
      <c r="BB320" s="85"/>
      <c r="BC320" s="84"/>
      <c r="BD320" s="84"/>
      <c r="BF320" s="84"/>
      <c r="BL320" s="84"/>
      <c r="BP320" s="86"/>
      <c r="BV320" s="84"/>
      <c r="CA320" s="84"/>
      <c r="CF320" s="84"/>
      <c r="CK320" s="84"/>
      <c r="CP320" s="84"/>
      <c r="CS320" s="86"/>
      <c r="CT320" s="84"/>
      <c r="CW320" s="86"/>
      <c r="CX320" s="84"/>
      <c r="DA320" s="86"/>
      <c r="DB320" s="84"/>
      <c r="DE320" s="86"/>
      <c r="DF320" s="84"/>
      <c r="DI320" s="86"/>
      <c r="DJ320" s="84"/>
      <c r="DM320" s="86"/>
      <c r="DN320" s="84"/>
      <c r="DQ320" s="86"/>
      <c r="DR320" s="85"/>
      <c r="DS320" s="85"/>
      <c r="DT320" s="84"/>
      <c r="DV320" s="84"/>
      <c r="DW320" s="157"/>
      <c r="EB320" s="84"/>
      <c r="EG320" s="84"/>
      <c r="EK320" s="84"/>
      <c r="EO320" s="84"/>
      <c r="ES320" s="84"/>
      <c r="EW320" s="84"/>
    </row>
    <row r="321" customFormat="false" ht="12.75" hidden="false" customHeight="false" outlineLevel="0" collapsed="false">
      <c r="A321" s="37"/>
      <c r="E321" s="83"/>
      <c r="J321" s="84"/>
      <c r="N321" s="84"/>
      <c r="R321" s="84"/>
      <c r="V321" s="84"/>
      <c r="Z321" s="84"/>
      <c r="AD321" s="84"/>
      <c r="AH321" s="84"/>
      <c r="AL321" s="84"/>
      <c r="AP321" s="84"/>
      <c r="AT321" s="84"/>
      <c r="AX321" s="84"/>
      <c r="BB321" s="85"/>
      <c r="BC321" s="84"/>
      <c r="BD321" s="84"/>
      <c r="BF321" s="84"/>
      <c r="BL321" s="84"/>
      <c r="BP321" s="86"/>
      <c r="BV321" s="84"/>
      <c r="CA321" s="84"/>
      <c r="CF321" s="84"/>
      <c r="CK321" s="84"/>
      <c r="CP321" s="84"/>
      <c r="CS321" s="86"/>
      <c r="CT321" s="84"/>
      <c r="CW321" s="86"/>
      <c r="CX321" s="84"/>
      <c r="DA321" s="86"/>
      <c r="DB321" s="84"/>
      <c r="DE321" s="86"/>
      <c r="DF321" s="84"/>
      <c r="DI321" s="86"/>
      <c r="DJ321" s="84"/>
      <c r="DM321" s="86"/>
      <c r="DN321" s="84"/>
      <c r="DQ321" s="86"/>
      <c r="DR321" s="85"/>
      <c r="DS321" s="85"/>
      <c r="DT321" s="84"/>
      <c r="DV321" s="84"/>
      <c r="DW321" s="157"/>
      <c r="EB321" s="84"/>
      <c r="EG321" s="84"/>
      <c r="EK321" s="84"/>
      <c r="EO321" s="84"/>
      <c r="ES321" s="84"/>
      <c r="EW321" s="84"/>
    </row>
    <row r="322" customFormat="false" ht="12.75" hidden="false" customHeight="false" outlineLevel="0" collapsed="false">
      <c r="A322" s="37"/>
      <c r="E322" s="83"/>
      <c r="J322" s="84"/>
      <c r="N322" s="84"/>
      <c r="R322" s="84"/>
      <c r="V322" s="84"/>
      <c r="Z322" s="84"/>
      <c r="AD322" s="84"/>
      <c r="AH322" s="84"/>
      <c r="AL322" s="84"/>
      <c r="AP322" s="84"/>
      <c r="AT322" s="84"/>
      <c r="AX322" s="84"/>
      <c r="BB322" s="85"/>
      <c r="BC322" s="84"/>
      <c r="BD322" s="84"/>
      <c r="BF322" s="84"/>
      <c r="BL322" s="84"/>
      <c r="BP322" s="86"/>
      <c r="BV322" s="84"/>
      <c r="CA322" s="84"/>
      <c r="CF322" s="84"/>
      <c r="CK322" s="84"/>
      <c r="CP322" s="84"/>
      <c r="CS322" s="86"/>
      <c r="CT322" s="84"/>
      <c r="CW322" s="86"/>
      <c r="CX322" s="84"/>
      <c r="DA322" s="86"/>
      <c r="DB322" s="84"/>
      <c r="DE322" s="86"/>
      <c r="DF322" s="84"/>
      <c r="DI322" s="86"/>
      <c r="DJ322" s="84"/>
      <c r="DM322" s="86"/>
      <c r="DN322" s="84"/>
      <c r="DQ322" s="86"/>
      <c r="DR322" s="85"/>
      <c r="DS322" s="85"/>
      <c r="DT322" s="84"/>
      <c r="DV322" s="84"/>
      <c r="DW322" s="157"/>
      <c r="EB322" s="84"/>
      <c r="EG322" s="84"/>
      <c r="EK322" s="84"/>
      <c r="EO322" s="84"/>
      <c r="ES322" s="84"/>
      <c r="EW322" s="84"/>
    </row>
    <row r="323" customFormat="false" ht="12.75" hidden="false" customHeight="false" outlineLevel="0" collapsed="false">
      <c r="A323" s="37"/>
      <c r="E323" s="83"/>
      <c r="J323" s="84"/>
      <c r="N323" s="84"/>
      <c r="R323" s="84"/>
      <c r="V323" s="84"/>
      <c r="Z323" s="84"/>
      <c r="AD323" s="84"/>
      <c r="AH323" s="84"/>
      <c r="AL323" s="84"/>
      <c r="AP323" s="84"/>
      <c r="AT323" s="84"/>
      <c r="AX323" s="84"/>
      <c r="BB323" s="85"/>
      <c r="BC323" s="84"/>
      <c r="BD323" s="84"/>
      <c r="BF323" s="84"/>
      <c r="BL323" s="84"/>
      <c r="BP323" s="86"/>
      <c r="BV323" s="84"/>
      <c r="CA323" s="84"/>
      <c r="CF323" s="84"/>
      <c r="CK323" s="84"/>
      <c r="CP323" s="84"/>
      <c r="CS323" s="86"/>
      <c r="CT323" s="84"/>
      <c r="CW323" s="86"/>
      <c r="CX323" s="84"/>
      <c r="DA323" s="86"/>
      <c r="DB323" s="84"/>
      <c r="DE323" s="86"/>
      <c r="DF323" s="84"/>
      <c r="DI323" s="86"/>
      <c r="DJ323" s="84"/>
      <c r="DM323" s="86"/>
      <c r="DN323" s="84"/>
      <c r="DQ323" s="86"/>
      <c r="DR323" s="85"/>
      <c r="DS323" s="85"/>
      <c r="DT323" s="84"/>
      <c r="DV323" s="84"/>
      <c r="DW323" s="157"/>
      <c r="EB323" s="84"/>
      <c r="EG323" s="84"/>
      <c r="EK323" s="84"/>
      <c r="EO323" s="84"/>
      <c r="ES323" s="84"/>
      <c r="EW323" s="84"/>
    </row>
    <row r="324" customFormat="false" ht="12.75" hidden="false" customHeight="false" outlineLevel="0" collapsed="false">
      <c r="A324" s="37"/>
      <c r="E324" s="83"/>
      <c r="J324" s="84"/>
      <c r="N324" s="84"/>
      <c r="R324" s="84"/>
      <c r="V324" s="84"/>
      <c r="Z324" s="84"/>
      <c r="AD324" s="84"/>
      <c r="AH324" s="84"/>
      <c r="AL324" s="84"/>
      <c r="AP324" s="84"/>
      <c r="AT324" s="84"/>
      <c r="AX324" s="84"/>
      <c r="BB324" s="85"/>
      <c r="BC324" s="84"/>
      <c r="BD324" s="84"/>
      <c r="BF324" s="84"/>
      <c r="BL324" s="84"/>
      <c r="BP324" s="86"/>
      <c r="BV324" s="84"/>
      <c r="CA324" s="84"/>
      <c r="CF324" s="84"/>
      <c r="CK324" s="84"/>
      <c r="CP324" s="84"/>
      <c r="CS324" s="86"/>
      <c r="CT324" s="84"/>
      <c r="CW324" s="86"/>
      <c r="CX324" s="84"/>
      <c r="DA324" s="86"/>
      <c r="DB324" s="84"/>
      <c r="DE324" s="86"/>
      <c r="DF324" s="84"/>
      <c r="DI324" s="86"/>
      <c r="DJ324" s="84"/>
      <c r="DM324" s="86"/>
      <c r="DN324" s="84"/>
      <c r="DQ324" s="86"/>
      <c r="DR324" s="85"/>
      <c r="DS324" s="85"/>
      <c r="DT324" s="84"/>
      <c r="DV324" s="84"/>
      <c r="DW324" s="157"/>
      <c r="EB324" s="84"/>
      <c r="EG324" s="84"/>
      <c r="EK324" s="84"/>
      <c r="EO324" s="84"/>
      <c r="ES324" s="84"/>
      <c r="EW324" s="84"/>
    </row>
    <row r="325" customFormat="false" ht="12.75" hidden="false" customHeight="false" outlineLevel="0" collapsed="false">
      <c r="A325" s="37"/>
      <c r="E325" s="83"/>
      <c r="J325" s="84"/>
      <c r="N325" s="84"/>
      <c r="R325" s="84"/>
      <c r="V325" s="84"/>
      <c r="Z325" s="84"/>
      <c r="AD325" s="84"/>
      <c r="AH325" s="84"/>
      <c r="AL325" s="84"/>
      <c r="AP325" s="84"/>
      <c r="AT325" s="84"/>
      <c r="AX325" s="84"/>
      <c r="BB325" s="85"/>
      <c r="BC325" s="84"/>
      <c r="BD325" s="84"/>
      <c r="BF325" s="84"/>
      <c r="BL325" s="84"/>
      <c r="BP325" s="86"/>
      <c r="BV325" s="84"/>
      <c r="CA325" s="84"/>
      <c r="CF325" s="84"/>
      <c r="CK325" s="84"/>
      <c r="CP325" s="84"/>
      <c r="CS325" s="86"/>
      <c r="CT325" s="84"/>
      <c r="CW325" s="86"/>
      <c r="CX325" s="84"/>
      <c r="DA325" s="86"/>
      <c r="DB325" s="84"/>
      <c r="DE325" s="86"/>
      <c r="DF325" s="84"/>
      <c r="DI325" s="86"/>
      <c r="DJ325" s="84"/>
      <c r="DM325" s="86"/>
      <c r="DN325" s="84"/>
      <c r="DQ325" s="86"/>
      <c r="DR325" s="85"/>
      <c r="DS325" s="85"/>
      <c r="DT325" s="84"/>
      <c r="DV325" s="84"/>
      <c r="DW325" s="157"/>
      <c r="EB325" s="84"/>
      <c r="EG325" s="84"/>
      <c r="EK325" s="84"/>
      <c r="EO325" s="84"/>
      <c r="ES325" s="84"/>
      <c r="EW325" s="84"/>
    </row>
    <row r="326" customFormat="false" ht="12.75" hidden="false" customHeight="false" outlineLevel="0" collapsed="false">
      <c r="A326" s="37"/>
      <c r="E326" s="83"/>
      <c r="J326" s="84"/>
      <c r="N326" s="84"/>
      <c r="R326" s="84"/>
      <c r="V326" s="84"/>
      <c r="Z326" s="84"/>
      <c r="AD326" s="84"/>
      <c r="AH326" s="84"/>
      <c r="AL326" s="84"/>
      <c r="AP326" s="84"/>
      <c r="AT326" s="84"/>
      <c r="AX326" s="84"/>
      <c r="BB326" s="85"/>
      <c r="BC326" s="84"/>
      <c r="BD326" s="84"/>
      <c r="BF326" s="84"/>
      <c r="BL326" s="84"/>
      <c r="BP326" s="86"/>
      <c r="BV326" s="84"/>
      <c r="CA326" s="84"/>
      <c r="CF326" s="84"/>
      <c r="CK326" s="84"/>
      <c r="CP326" s="84"/>
      <c r="CS326" s="86"/>
      <c r="CT326" s="84"/>
      <c r="CW326" s="86"/>
      <c r="CX326" s="84"/>
      <c r="DA326" s="86"/>
      <c r="DB326" s="84"/>
      <c r="DE326" s="86"/>
      <c r="DF326" s="84"/>
      <c r="DI326" s="86"/>
      <c r="DJ326" s="84"/>
      <c r="DM326" s="86"/>
      <c r="DN326" s="84"/>
      <c r="DQ326" s="86"/>
      <c r="DR326" s="85"/>
      <c r="DS326" s="85"/>
      <c r="DT326" s="84"/>
      <c r="DV326" s="84"/>
      <c r="DW326" s="157"/>
      <c r="EB326" s="84"/>
      <c r="EG326" s="84"/>
      <c r="EK326" s="84"/>
      <c r="EO326" s="84"/>
      <c r="ES326" s="84"/>
      <c r="EW326" s="84"/>
    </row>
    <row r="327" customFormat="false" ht="12.75" hidden="false" customHeight="false" outlineLevel="0" collapsed="false">
      <c r="A327" s="37"/>
      <c r="E327" s="83"/>
      <c r="J327" s="84"/>
      <c r="N327" s="84"/>
      <c r="R327" s="84"/>
      <c r="V327" s="84"/>
      <c r="Z327" s="84"/>
      <c r="AD327" s="84"/>
      <c r="AH327" s="84"/>
      <c r="AL327" s="84"/>
      <c r="AP327" s="84"/>
      <c r="AT327" s="84"/>
      <c r="AX327" s="84"/>
      <c r="BB327" s="85"/>
      <c r="BC327" s="84"/>
      <c r="BD327" s="84"/>
      <c r="BF327" s="84"/>
      <c r="BL327" s="84"/>
      <c r="BP327" s="86"/>
      <c r="BV327" s="84"/>
      <c r="CA327" s="84"/>
      <c r="CF327" s="84"/>
      <c r="CK327" s="84"/>
      <c r="CP327" s="84"/>
      <c r="CS327" s="86"/>
      <c r="CT327" s="84"/>
      <c r="CW327" s="86"/>
      <c r="CX327" s="84"/>
      <c r="DA327" s="86"/>
      <c r="DB327" s="84"/>
      <c r="DE327" s="86"/>
      <c r="DF327" s="84"/>
      <c r="DI327" s="86"/>
      <c r="DJ327" s="84"/>
      <c r="DM327" s="86"/>
      <c r="DN327" s="84"/>
      <c r="DQ327" s="86"/>
      <c r="DR327" s="85"/>
      <c r="DS327" s="85"/>
      <c r="DT327" s="84"/>
      <c r="DV327" s="84"/>
      <c r="DW327" s="157"/>
      <c r="EB327" s="84"/>
      <c r="EG327" s="84"/>
      <c r="EK327" s="84"/>
      <c r="EO327" s="84"/>
      <c r="ES327" s="84"/>
      <c r="EW327" s="84"/>
    </row>
    <row r="328" customFormat="false" ht="12.75" hidden="false" customHeight="false" outlineLevel="0" collapsed="false">
      <c r="A328" s="37"/>
      <c r="E328" s="83"/>
      <c r="J328" s="84"/>
      <c r="N328" s="84"/>
      <c r="R328" s="84"/>
      <c r="V328" s="84"/>
      <c r="Z328" s="84"/>
      <c r="AD328" s="84"/>
      <c r="AH328" s="84"/>
      <c r="AL328" s="84"/>
      <c r="AP328" s="84"/>
      <c r="AT328" s="84"/>
      <c r="AX328" s="84"/>
      <c r="BB328" s="85"/>
      <c r="BC328" s="84"/>
      <c r="BD328" s="84"/>
      <c r="BF328" s="84"/>
      <c r="BL328" s="84"/>
      <c r="BP328" s="86"/>
      <c r="BV328" s="84"/>
      <c r="CA328" s="84"/>
      <c r="CF328" s="84"/>
      <c r="CK328" s="84"/>
      <c r="CP328" s="84"/>
      <c r="CS328" s="86"/>
      <c r="CT328" s="84"/>
      <c r="CW328" s="86"/>
      <c r="CX328" s="84"/>
      <c r="DA328" s="86"/>
      <c r="DB328" s="84"/>
      <c r="DE328" s="86"/>
      <c r="DF328" s="84"/>
      <c r="DI328" s="86"/>
      <c r="DJ328" s="84"/>
      <c r="DM328" s="86"/>
      <c r="DN328" s="84"/>
      <c r="DQ328" s="86"/>
      <c r="DR328" s="85"/>
      <c r="DS328" s="85"/>
      <c r="DT328" s="84"/>
      <c r="DV328" s="84"/>
      <c r="DW328" s="157"/>
      <c r="EB328" s="84"/>
      <c r="EG328" s="84"/>
      <c r="EK328" s="84"/>
      <c r="EO328" s="84"/>
      <c r="ES328" s="84"/>
      <c r="EW328" s="84"/>
    </row>
    <row r="329" customFormat="false" ht="12.75" hidden="false" customHeight="false" outlineLevel="0" collapsed="false">
      <c r="A329" s="37"/>
      <c r="E329" s="83"/>
      <c r="J329" s="84"/>
      <c r="N329" s="84"/>
      <c r="R329" s="84"/>
      <c r="V329" s="84"/>
      <c r="Z329" s="84"/>
      <c r="AD329" s="84"/>
      <c r="AH329" s="84"/>
      <c r="AL329" s="84"/>
      <c r="AP329" s="84"/>
      <c r="AT329" s="84"/>
      <c r="AX329" s="84"/>
      <c r="BB329" s="85"/>
      <c r="BC329" s="84"/>
      <c r="BD329" s="84"/>
      <c r="BF329" s="84"/>
      <c r="BL329" s="84"/>
      <c r="BP329" s="86"/>
      <c r="BV329" s="84"/>
      <c r="CA329" s="84"/>
      <c r="CF329" s="84"/>
      <c r="CK329" s="84"/>
      <c r="CP329" s="84"/>
      <c r="CS329" s="86"/>
      <c r="CT329" s="84"/>
      <c r="CW329" s="86"/>
      <c r="CX329" s="84"/>
      <c r="DA329" s="86"/>
      <c r="DB329" s="84"/>
      <c r="DE329" s="86"/>
      <c r="DF329" s="84"/>
      <c r="DI329" s="86"/>
      <c r="DJ329" s="84"/>
      <c r="DM329" s="86"/>
      <c r="DN329" s="84"/>
      <c r="DQ329" s="86"/>
      <c r="DR329" s="85"/>
      <c r="DS329" s="85"/>
      <c r="DT329" s="84"/>
      <c r="DV329" s="84"/>
      <c r="DW329" s="157"/>
      <c r="EB329" s="84"/>
      <c r="EG329" s="84"/>
      <c r="EK329" s="84"/>
      <c r="EO329" s="84"/>
      <c r="ES329" s="84"/>
      <c r="EW329" s="84"/>
    </row>
    <row r="330" customFormat="false" ht="12.75" hidden="false" customHeight="false" outlineLevel="0" collapsed="false">
      <c r="A330" s="37"/>
      <c r="E330" s="83"/>
      <c r="J330" s="84"/>
      <c r="N330" s="84"/>
      <c r="R330" s="84"/>
      <c r="V330" s="84"/>
      <c r="Z330" s="84"/>
      <c r="AD330" s="84"/>
      <c r="AH330" s="84"/>
      <c r="AL330" s="84"/>
      <c r="AP330" s="84"/>
      <c r="AT330" s="84"/>
      <c r="AX330" s="84"/>
      <c r="BB330" s="85"/>
      <c r="BC330" s="84"/>
      <c r="BD330" s="84"/>
      <c r="BF330" s="84"/>
      <c r="BL330" s="84"/>
      <c r="BP330" s="86"/>
      <c r="BV330" s="84"/>
      <c r="CA330" s="84"/>
      <c r="CF330" s="84"/>
      <c r="CK330" s="84"/>
      <c r="CP330" s="84"/>
      <c r="CS330" s="86"/>
      <c r="CT330" s="84"/>
      <c r="CW330" s="86"/>
      <c r="CX330" s="84"/>
      <c r="DA330" s="86"/>
      <c r="DB330" s="84"/>
      <c r="DE330" s="86"/>
      <c r="DF330" s="84"/>
      <c r="DI330" s="86"/>
      <c r="DJ330" s="84"/>
      <c r="DM330" s="86"/>
      <c r="DN330" s="84"/>
      <c r="DQ330" s="86"/>
      <c r="DR330" s="85"/>
      <c r="DS330" s="85"/>
      <c r="DT330" s="84"/>
      <c r="DV330" s="84"/>
      <c r="DW330" s="157"/>
      <c r="EB330" s="84"/>
      <c r="EG330" s="84"/>
      <c r="EK330" s="84"/>
      <c r="EO330" s="84"/>
      <c r="ES330" s="84"/>
      <c r="EW330" s="84"/>
    </row>
    <row r="331" customFormat="false" ht="12.75" hidden="false" customHeight="false" outlineLevel="0" collapsed="false">
      <c r="A331" s="37"/>
      <c r="E331" s="83"/>
      <c r="J331" s="84"/>
      <c r="N331" s="84"/>
      <c r="R331" s="84"/>
      <c r="V331" s="84"/>
      <c r="Z331" s="84"/>
      <c r="AD331" s="84"/>
      <c r="AH331" s="84"/>
      <c r="AL331" s="84"/>
      <c r="AP331" s="84"/>
      <c r="AT331" s="84"/>
      <c r="AX331" s="84"/>
      <c r="BB331" s="85"/>
      <c r="BC331" s="84"/>
      <c r="BD331" s="84"/>
      <c r="BF331" s="84"/>
      <c r="BL331" s="84"/>
      <c r="BP331" s="86"/>
      <c r="BV331" s="84"/>
      <c r="CA331" s="84"/>
      <c r="CF331" s="84"/>
      <c r="CK331" s="84"/>
      <c r="CP331" s="84"/>
      <c r="CS331" s="86"/>
      <c r="CT331" s="84"/>
      <c r="CW331" s="86"/>
      <c r="CX331" s="84"/>
      <c r="DA331" s="86"/>
      <c r="DB331" s="84"/>
      <c r="DE331" s="86"/>
      <c r="DF331" s="84"/>
      <c r="DI331" s="86"/>
      <c r="DJ331" s="84"/>
      <c r="DM331" s="86"/>
      <c r="DN331" s="84"/>
      <c r="DQ331" s="86"/>
      <c r="DR331" s="85"/>
      <c r="DS331" s="85"/>
      <c r="DT331" s="84"/>
      <c r="DV331" s="84"/>
      <c r="DW331" s="157"/>
      <c r="EB331" s="84"/>
      <c r="EG331" s="84"/>
      <c r="EK331" s="84"/>
      <c r="EO331" s="84"/>
      <c r="ES331" s="84"/>
      <c r="EW331" s="84"/>
    </row>
    <row r="332" customFormat="false" ht="12.75" hidden="false" customHeight="false" outlineLevel="0" collapsed="false">
      <c r="A332" s="37"/>
      <c r="E332" s="83"/>
      <c r="J332" s="84"/>
      <c r="N332" s="84"/>
      <c r="R332" s="84"/>
      <c r="V332" s="84"/>
      <c r="Z332" s="84"/>
      <c r="AD332" s="84"/>
      <c r="AH332" s="84"/>
      <c r="AL332" s="84"/>
      <c r="AP332" s="84"/>
      <c r="AT332" s="84"/>
      <c r="AX332" s="84"/>
      <c r="BB332" s="85"/>
      <c r="BC332" s="84"/>
      <c r="BD332" s="84"/>
      <c r="BF332" s="84"/>
      <c r="BL332" s="84"/>
      <c r="BP332" s="86"/>
      <c r="BV332" s="84"/>
      <c r="CA332" s="84"/>
      <c r="CF332" s="84"/>
      <c r="CK332" s="84"/>
      <c r="CP332" s="84"/>
      <c r="CS332" s="86"/>
      <c r="CT332" s="84"/>
      <c r="CW332" s="86"/>
      <c r="CX332" s="84"/>
      <c r="DA332" s="86"/>
      <c r="DB332" s="84"/>
      <c r="DE332" s="86"/>
      <c r="DF332" s="84"/>
      <c r="DI332" s="86"/>
      <c r="DJ332" s="84"/>
      <c r="DM332" s="86"/>
      <c r="DN332" s="84"/>
      <c r="DQ332" s="86"/>
      <c r="DR332" s="85"/>
      <c r="DS332" s="85"/>
      <c r="DT332" s="84"/>
      <c r="DV332" s="84"/>
      <c r="DW332" s="157"/>
      <c r="EB332" s="84"/>
      <c r="EG332" s="84"/>
      <c r="EK332" s="84"/>
      <c r="EO332" s="84"/>
      <c r="ES332" s="84"/>
      <c r="EW332" s="84"/>
    </row>
    <row r="333" customFormat="false" ht="12.75" hidden="false" customHeight="false" outlineLevel="0" collapsed="false">
      <c r="A333" s="37"/>
      <c r="E333" s="83"/>
      <c r="J333" s="84"/>
      <c r="N333" s="84"/>
      <c r="R333" s="84"/>
      <c r="V333" s="84"/>
      <c r="Z333" s="84"/>
      <c r="AD333" s="84"/>
      <c r="AH333" s="84"/>
      <c r="AL333" s="84"/>
      <c r="AP333" s="84"/>
      <c r="AT333" s="84"/>
      <c r="AX333" s="84"/>
      <c r="BB333" s="85"/>
      <c r="BC333" s="84"/>
      <c r="BD333" s="84"/>
      <c r="BF333" s="84"/>
      <c r="BL333" s="84"/>
      <c r="BP333" s="86"/>
      <c r="BV333" s="84"/>
      <c r="CA333" s="84"/>
      <c r="CF333" s="84"/>
      <c r="CK333" s="84"/>
      <c r="CP333" s="84"/>
      <c r="CS333" s="86"/>
      <c r="CT333" s="84"/>
      <c r="CW333" s="86"/>
      <c r="CX333" s="84"/>
      <c r="DA333" s="86"/>
      <c r="DB333" s="84"/>
      <c r="DE333" s="86"/>
      <c r="DF333" s="84"/>
      <c r="DI333" s="86"/>
      <c r="DJ333" s="84"/>
      <c r="DM333" s="86"/>
      <c r="DN333" s="84"/>
      <c r="DQ333" s="86"/>
      <c r="DR333" s="85"/>
      <c r="DS333" s="85"/>
      <c r="DT333" s="84"/>
      <c r="DV333" s="84"/>
      <c r="DW333" s="157"/>
      <c r="EB333" s="84"/>
      <c r="EG333" s="84"/>
      <c r="EK333" s="84"/>
      <c r="EO333" s="84"/>
      <c r="ES333" s="84"/>
      <c r="EW333" s="84"/>
    </row>
    <row r="334" customFormat="false" ht="12.75" hidden="false" customHeight="false" outlineLevel="0" collapsed="false">
      <c r="A334" s="37"/>
      <c r="E334" s="83"/>
      <c r="J334" s="84"/>
      <c r="N334" s="84"/>
      <c r="R334" s="84"/>
      <c r="V334" s="84"/>
      <c r="Z334" s="84"/>
      <c r="AD334" s="84"/>
      <c r="AH334" s="84"/>
      <c r="AL334" s="84"/>
      <c r="AP334" s="84"/>
      <c r="AT334" s="84"/>
      <c r="AX334" s="84"/>
      <c r="BB334" s="85"/>
      <c r="BC334" s="84"/>
      <c r="BD334" s="84"/>
      <c r="BF334" s="84"/>
      <c r="BL334" s="84"/>
      <c r="BP334" s="86"/>
      <c r="BV334" s="84"/>
      <c r="CA334" s="84"/>
      <c r="CF334" s="84"/>
      <c r="CK334" s="84"/>
      <c r="CP334" s="84"/>
      <c r="CS334" s="86"/>
      <c r="CT334" s="84"/>
      <c r="CW334" s="86"/>
      <c r="CX334" s="84"/>
      <c r="DA334" s="86"/>
      <c r="DB334" s="84"/>
      <c r="DE334" s="86"/>
      <c r="DF334" s="84"/>
      <c r="DI334" s="86"/>
      <c r="DJ334" s="84"/>
      <c r="DM334" s="86"/>
      <c r="DN334" s="84"/>
      <c r="DQ334" s="86"/>
      <c r="DR334" s="85"/>
      <c r="DS334" s="85"/>
      <c r="DT334" s="84"/>
      <c r="DV334" s="84"/>
      <c r="DW334" s="157"/>
      <c r="EB334" s="84"/>
      <c r="EG334" s="84"/>
      <c r="EK334" s="84"/>
      <c r="EO334" s="84"/>
      <c r="ES334" s="84"/>
      <c r="EW334" s="84"/>
    </row>
    <row r="335" customFormat="false" ht="12.75" hidden="false" customHeight="false" outlineLevel="0" collapsed="false">
      <c r="A335" s="37"/>
      <c r="E335" s="83"/>
      <c r="J335" s="84"/>
      <c r="N335" s="84"/>
      <c r="R335" s="84"/>
      <c r="V335" s="84"/>
      <c r="Z335" s="84"/>
      <c r="AD335" s="84"/>
      <c r="AH335" s="84"/>
      <c r="AL335" s="84"/>
      <c r="AP335" s="84"/>
      <c r="AT335" s="84"/>
      <c r="AX335" s="84"/>
      <c r="BB335" s="85"/>
      <c r="BC335" s="84"/>
      <c r="BD335" s="84"/>
      <c r="BF335" s="84"/>
      <c r="BL335" s="84"/>
      <c r="BP335" s="86"/>
      <c r="BV335" s="84"/>
      <c r="CA335" s="84"/>
      <c r="CF335" s="84"/>
      <c r="CK335" s="84"/>
      <c r="CP335" s="84"/>
      <c r="CS335" s="86"/>
      <c r="CT335" s="84"/>
      <c r="CW335" s="86"/>
      <c r="CX335" s="84"/>
      <c r="DA335" s="86"/>
      <c r="DB335" s="84"/>
      <c r="DE335" s="86"/>
      <c r="DF335" s="84"/>
      <c r="DI335" s="86"/>
      <c r="DJ335" s="84"/>
      <c r="DM335" s="86"/>
      <c r="DN335" s="84"/>
      <c r="DQ335" s="86"/>
      <c r="DR335" s="85"/>
      <c r="DS335" s="85"/>
      <c r="DT335" s="84"/>
      <c r="DV335" s="84"/>
      <c r="DW335" s="157"/>
      <c r="EB335" s="84"/>
      <c r="EG335" s="84"/>
      <c r="EK335" s="84"/>
      <c r="EO335" s="84"/>
      <c r="ES335" s="84"/>
      <c r="EW335" s="84"/>
    </row>
    <row r="336" customFormat="false" ht="12.75" hidden="false" customHeight="false" outlineLevel="0" collapsed="false">
      <c r="A336" s="37"/>
      <c r="E336" s="83"/>
      <c r="J336" s="84"/>
      <c r="N336" s="84"/>
      <c r="R336" s="84"/>
      <c r="V336" s="84"/>
      <c r="Z336" s="84"/>
      <c r="AD336" s="84"/>
      <c r="AH336" s="84"/>
      <c r="AL336" s="84"/>
      <c r="AP336" s="84"/>
      <c r="AT336" s="84"/>
      <c r="AX336" s="84"/>
      <c r="BB336" s="85"/>
      <c r="BC336" s="84"/>
      <c r="BD336" s="84"/>
      <c r="BF336" s="84"/>
      <c r="BL336" s="84"/>
      <c r="BP336" s="86"/>
      <c r="BV336" s="84"/>
      <c r="CA336" s="84"/>
      <c r="CF336" s="84"/>
      <c r="CK336" s="84"/>
      <c r="CP336" s="84"/>
      <c r="CS336" s="86"/>
      <c r="CT336" s="84"/>
      <c r="CW336" s="86"/>
      <c r="CX336" s="84"/>
      <c r="DA336" s="86"/>
      <c r="DB336" s="84"/>
      <c r="DE336" s="86"/>
      <c r="DF336" s="84"/>
      <c r="DI336" s="86"/>
      <c r="DJ336" s="84"/>
      <c r="DM336" s="86"/>
      <c r="DN336" s="84"/>
      <c r="DQ336" s="86"/>
      <c r="DR336" s="85"/>
      <c r="DS336" s="85"/>
      <c r="DT336" s="84"/>
      <c r="DV336" s="84"/>
      <c r="DW336" s="157"/>
      <c r="EB336" s="84"/>
      <c r="EG336" s="84"/>
      <c r="EK336" s="84"/>
      <c r="EO336" s="84"/>
      <c r="ES336" s="84"/>
      <c r="EW336" s="84"/>
    </row>
    <row r="337" customFormat="false" ht="12.75" hidden="false" customHeight="false" outlineLevel="0" collapsed="false">
      <c r="A337" s="37"/>
      <c r="E337" s="83"/>
      <c r="J337" s="84"/>
      <c r="N337" s="84"/>
      <c r="R337" s="84"/>
      <c r="V337" s="84"/>
      <c r="Z337" s="84"/>
      <c r="AD337" s="84"/>
      <c r="AH337" s="84"/>
      <c r="AL337" s="84"/>
      <c r="AP337" s="84"/>
      <c r="AT337" s="84"/>
      <c r="AX337" s="84"/>
      <c r="BB337" s="85"/>
      <c r="BC337" s="84"/>
      <c r="BD337" s="84"/>
      <c r="BF337" s="84"/>
      <c r="BL337" s="84"/>
      <c r="BP337" s="86"/>
      <c r="BV337" s="84"/>
      <c r="CA337" s="84"/>
      <c r="CF337" s="84"/>
      <c r="CK337" s="84"/>
      <c r="CP337" s="84"/>
      <c r="CS337" s="86"/>
      <c r="CT337" s="84"/>
      <c r="CW337" s="86"/>
      <c r="CX337" s="84"/>
      <c r="DA337" s="86"/>
      <c r="DB337" s="84"/>
      <c r="DE337" s="86"/>
      <c r="DF337" s="84"/>
      <c r="DI337" s="86"/>
      <c r="DJ337" s="84"/>
      <c r="DM337" s="86"/>
      <c r="DN337" s="84"/>
      <c r="DQ337" s="86"/>
      <c r="DR337" s="85"/>
      <c r="DS337" s="85"/>
      <c r="DT337" s="84"/>
      <c r="DV337" s="84"/>
      <c r="DW337" s="157"/>
      <c r="EB337" s="84"/>
      <c r="EG337" s="84"/>
      <c r="EK337" s="84"/>
      <c r="EO337" s="84"/>
      <c r="ES337" s="84"/>
      <c r="EW337" s="84"/>
    </row>
    <row r="338" customFormat="false" ht="12.75" hidden="false" customHeight="false" outlineLevel="0" collapsed="false">
      <c r="A338" s="37"/>
      <c r="E338" s="83"/>
      <c r="J338" s="84"/>
      <c r="N338" s="84"/>
      <c r="R338" s="84"/>
      <c r="V338" s="84"/>
      <c r="Z338" s="84"/>
      <c r="AD338" s="84"/>
      <c r="AH338" s="84"/>
      <c r="AL338" s="84"/>
      <c r="AP338" s="84"/>
      <c r="AT338" s="84"/>
      <c r="AX338" s="84"/>
      <c r="BB338" s="85"/>
      <c r="BC338" s="84"/>
      <c r="BD338" s="84"/>
      <c r="BF338" s="84"/>
      <c r="BL338" s="84"/>
      <c r="BP338" s="86"/>
      <c r="BV338" s="84"/>
      <c r="CA338" s="84"/>
      <c r="CF338" s="84"/>
      <c r="CK338" s="84"/>
      <c r="CP338" s="84"/>
      <c r="CS338" s="86"/>
      <c r="CT338" s="84"/>
      <c r="CW338" s="86"/>
      <c r="CX338" s="84"/>
      <c r="DA338" s="86"/>
      <c r="DB338" s="84"/>
      <c r="DE338" s="86"/>
      <c r="DF338" s="84"/>
      <c r="DI338" s="86"/>
      <c r="DJ338" s="84"/>
      <c r="DM338" s="86"/>
      <c r="DN338" s="84"/>
      <c r="DQ338" s="86"/>
      <c r="DR338" s="85"/>
      <c r="DS338" s="85"/>
      <c r="DT338" s="84"/>
      <c r="DV338" s="84"/>
      <c r="DW338" s="157"/>
      <c r="EB338" s="84"/>
      <c r="EG338" s="84"/>
      <c r="EK338" s="84"/>
      <c r="EO338" s="84"/>
      <c r="ES338" s="84"/>
      <c r="EW338" s="84"/>
    </row>
    <row r="339" customFormat="false" ht="12.75" hidden="false" customHeight="false" outlineLevel="0" collapsed="false">
      <c r="A339" s="37"/>
      <c r="E339" s="83"/>
      <c r="J339" s="84"/>
      <c r="N339" s="84"/>
      <c r="R339" s="84"/>
      <c r="V339" s="84"/>
      <c r="Z339" s="84"/>
      <c r="AD339" s="84"/>
      <c r="AH339" s="84"/>
      <c r="AL339" s="84"/>
      <c r="AP339" s="84"/>
      <c r="AT339" s="84"/>
      <c r="AX339" s="84"/>
      <c r="BB339" s="85"/>
      <c r="BC339" s="84"/>
      <c r="BD339" s="84"/>
      <c r="BF339" s="84"/>
      <c r="BL339" s="84"/>
      <c r="BP339" s="86"/>
      <c r="BV339" s="84"/>
      <c r="CA339" s="84"/>
      <c r="CF339" s="84"/>
      <c r="CK339" s="84"/>
      <c r="CP339" s="84"/>
      <c r="CS339" s="86"/>
      <c r="CT339" s="84"/>
      <c r="CW339" s="86"/>
      <c r="CX339" s="84"/>
      <c r="DA339" s="86"/>
      <c r="DB339" s="84"/>
      <c r="DE339" s="86"/>
      <c r="DF339" s="84"/>
      <c r="DI339" s="86"/>
      <c r="DJ339" s="84"/>
      <c r="DM339" s="86"/>
      <c r="DN339" s="84"/>
      <c r="DQ339" s="86"/>
      <c r="DR339" s="85"/>
      <c r="DS339" s="85"/>
      <c r="DT339" s="84"/>
      <c r="DV339" s="84"/>
      <c r="DW339" s="157"/>
      <c r="EB339" s="84"/>
      <c r="EG339" s="84"/>
      <c r="EK339" s="84"/>
      <c r="EO339" s="84"/>
      <c r="ES339" s="84"/>
      <c r="EW339" s="84"/>
    </row>
    <row r="340" customFormat="false" ht="12.75" hidden="false" customHeight="false" outlineLevel="0" collapsed="false">
      <c r="A340" s="37"/>
      <c r="E340" s="83"/>
      <c r="J340" s="84"/>
      <c r="N340" s="84"/>
      <c r="R340" s="84"/>
      <c r="V340" s="84"/>
      <c r="Z340" s="84"/>
      <c r="AD340" s="84"/>
      <c r="AH340" s="84"/>
      <c r="AL340" s="84"/>
      <c r="AP340" s="84"/>
      <c r="AT340" s="84"/>
      <c r="AX340" s="84"/>
      <c r="BB340" s="85"/>
      <c r="BC340" s="84"/>
      <c r="BD340" s="84"/>
      <c r="BF340" s="84"/>
      <c r="BL340" s="84"/>
      <c r="BP340" s="86"/>
      <c r="BV340" s="84"/>
      <c r="CA340" s="84"/>
      <c r="CF340" s="84"/>
      <c r="CK340" s="84"/>
      <c r="CP340" s="84"/>
      <c r="CS340" s="86"/>
      <c r="CT340" s="84"/>
      <c r="CW340" s="86"/>
      <c r="CX340" s="84"/>
      <c r="DA340" s="86"/>
      <c r="DB340" s="84"/>
      <c r="DE340" s="86"/>
      <c r="DF340" s="84"/>
      <c r="DI340" s="86"/>
      <c r="DJ340" s="84"/>
      <c r="DM340" s="86"/>
      <c r="DN340" s="84"/>
      <c r="DQ340" s="86"/>
      <c r="DR340" s="85"/>
      <c r="DS340" s="85"/>
      <c r="DT340" s="84"/>
      <c r="DV340" s="84"/>
      <c r="DW340" s="157"/>
      <c r="EB340" s="84"/>
      <c r="EG340" s="84"/>
      <c r="EK340" s="84"/>
      <c r="EO340" s="84"/>
      <c r="ES340" s="84"/>
      <c r="EW340" s="84"/>
    </row>
    <row r="341" customFormat="false" ht="12.75" hidden="false" customHeight="false" outlineLevel="0" collapsed="false">
      <c r="A341" s="37"/>
      <c r="E341" s="83"/>
      <c r="J341" s="84"/>
      <c r="N341" s="84"/>
      <c r="R341" s="84"/>
      <c r="V341" s="84"/>
      <c r="Z341" s="84"/>
      <c r="AD341" s="84"/>
      <c r="AH341" s="84"/>
      <c r="AL341" s="84"/>
      <c r="AP341" s="84"/>
      <c r="AT341" s="84"/>
      <c r="AX341" s="84"/>
      <c r="BB341" s="85"/>
      <c r="BC341" s="84"/>
      <c r="BD341" s="84"/>
      <c r="BF341" s="84"/>
      <c r="BL341" s="84"/>
      <c r="BP341" s="86"/>
      <c r="BV341" s="84"/>
      <c r="CA341" s="84"/>
      <c r="CF341" s="84"/>
      <c r="CK341" s="84"/>
      <c r="CP341" s="84"/>
      <c r="CS341" s="86"/>
      <c r="CT341" s="84"/>
      <c r="CW341" s="86"/>
      <c r="CX341" s="84"/>
      <c r="DA341" s="86"/>
      <c r="DB341" s="84"/>
      <c r="DE341" s="86"/>
      <c r="DF341" s="84"/>
      <c r="DI341" s="86"/>
      <c r="DJ341" s="84"/>
      <c r="DM341" s="86"/>
      <c r="DN341" s="84"/>
      <c r="DQ341" s="86"/>
      <c r="DR341" s="85"/>
      <c r="DS341" s="85"/>
      <c r="DT341" s="84"/>
      <c r="DV341" s="84"/>
      <c r="DW341" s="157"/>
      <c r="EB341" s="84"/>
      <c r="EG341" s="84"/>
      <c r="EK341" s="84"/>
      <c r="EO341" s="84"/>
      <c r="ES341" s="84"/>
      <c r="EW341" s="84"/>
    </row>
    <row r="342" customFormat="false" ht="12.75" hidden="false" customHeight="false" outlineLevel="0" collapsed="false">
      <c r="A342" s="37"/>
      <c r="E342" s="83"/>
      <c r="J342" s="84"/>
      <c r="N342" s="84"/>
      <c r="R342" s="84"/>
      <c r="V342" s="84"/>
      <c r="Z342" s="84"/>
      <c r="AD342" s="84"/>
      <c r="AH342" s="84"/>
      <c r="AL342" s="84"/>
      <c r="AP342" s="84"/>
      <c r="AT342" s="84"/>
      <c r="AX342" s="84"/>
      <c r="BB342" s="85"/>
      <c r="BC342" s="84"/>
      <c r="BD342" s="84"/>
      <c r="BF342" s="84"/>
      <c r="BL342" s="84"/>
      <c r="BP342" s="86"/>
      <c r="BV342" s="84"/>
      <c r="CA342" s="84"/>
      <c r="CF342" s="84"/>
      <c r="CK342" s="84"/>
      <c r="CP342" s="84"/>
      <c r="CS342" s="86"/>
      <c r="CT342" s="84"/>
      <c r="CW342" s="86"/>
      <c r="CX342" s="84"/>
      <c r="DA342" s="86"/>
      <c r="DB342" s="84"/>
      <c r="DE342" s="86"/>
      <c r="DF342" s="84"/>
      <c r="DI342" s="86"/>
      <c r="DJ342" s="84"/>
      <c r="DM342" s="86"/>
      <c r="DN342" s="84"/>
      <c r="DQ342" s="86"/>
      <c r="DR342" s="85"/>
      <c r="DS342" s="85"/>
      <c r="DT342" s="84"/>
      <c r="DV342" s="84"/>
      <c r="DW342" s="157"/>
      <c r="EB342" s="84"/>
      <c r="EG342" s="84"/>
      <c r="EK342" s="84"/>
      <c r="EO342" s="84"/>
      <c r="ES342" s="84"/>
      <c r="EW342" s="84"/>
    </row>
    <row r="343" customFormat="false" ht="12.75" hidden="false" customHeight="false" outlineLevel="0" collapsed="false">
      <c r="A343" s="37"/>
      <c r="E343" s="83"/>
      <c r="J343" s="84"/>
      <c r="N343" s="84"/>
      <c r="R343" s="84"/>
      <c r="V343" s="84"/>
      <c r="Z343" s="84"/>
      <c r="AD343" s="84"/>
      <c r="AH343" s="84"/>
      <c r="AL343" s="84"/>
      <c r="AP343" s="84"/>
      <c r="AT343" s="84"/>
      <c r="AX343" s="84"/>
      <c r="BB343" s="85"/>
      <c r="BC343" s="84"/>
      <c r="BD343" s="84"/>
      <c r="BF343" s="84"/>
      <c r="BL343" s="84"/>
      <c r="BP343" s="86"/>
      <c r="BV343" s="84"/>
      <c r="CA343" s="84"/>
      <c r="CF343" s="84"/>
      <c r="CK343" s="84"/>
      <c r="CP343" s="84"/>
      <c r="CS343" s="86"/>
      <c r="CT343" s="84"/>
      <c r="CW343" s="86"/>
      <c r="CX343" s="84"/>
      <c r="DA343" s="86"/>
      <c r="DB343" s="84"/>
      <c r="DE343" s="86"/>
      <c r="DF343" s="84"/>
      <c r="DI343" s="86"/>
      <c r="DJ343" s="84"/>
      <c r="DM343" s="86"/>
      <c r="DN343" s="84"/>
      <c r="DQ343" s="86"/>
      <c r="DR343" s="85"/>
      <c r="DS343" s="85"/>
      <c r="DT343" s="84"/>
      <c r="DV343" s="84"/>
      <c r="DW343" s="157"/>
      <c r="EB343" s="84"/>
      <c r="EG343" s="84"/>
      <c r="EK343" s="84"/>
      <c r="EO343" s="84"/>
      <c r="ES343" s="84"/>
      <c r="EW343" s="84"/>
    </row>
    <row r="344" customFormat="false" ht="12.75" hidden="false" customHeight="false" outlineLevel="0" collapsed="false">
      <c r="A344" s="37"/>
      <c r="E344" s="83"/>
      <c r="J344" s="84"/>
      <c r="N344" s="84"/>
      <c r="R344" s="84"/>
      <c r="V344" s="84"/>
      <c r="Z344" s="84"/>
      <c r="AD344" s="84"/>
      <c r="AH344" s="84"/>
      <c r="AL344" s="84"/>
      <c r="AP344" s="84"/>
      <c r="AT344" s="84"/>
      <c r="AX344" s="84"/>
      <c r="BB344" s="85"/>
      <c r="BC344" s="84"/>
      <c r="BD344" s="84"/>
      <c r="BF344" s="84"/>
      <c r="BL344" s="84"/>
      <c r="BP344" s="86"/>
      <c r="BV344" s="84"/>
      <c r="CA344" s="84"/>
      <c r="CF344" s="84"/>
      <c r="CK344" s="84"/>
      <c r="CP344" s="84"/>
      <c r="CS344" s="86"/>
      <c r="CT344" s="84"/>
      <c r="CW344" s="86"/>
      <c r="CX344" s="84"/>
      <c r="DA344" s="86"/>
      <c r="DB344" s="84"/>
      <c r="DE344" s="86"/>
      <c r="DF344" s="84"/>
      <c r="DI344" s="86"/>
      <c r="DJ344" s="84"/>
      <c r="DM344" s="86"/>
      <c r="DN344" s="84"/>
      <c r="DQ344" s="86"/>
      <c r="DR344" s="85"/>
      <c r="DS344" s="85"/>
      <c r="DT344" s="84"/>
      <c r="DV344" s="84"/>
      <c r="DW344" s="157"/>
      <c r="EB344" s="84"/>
      <c r="EG344" s="84"/>
      <c r="EK344" s="84"/>
      <c r="EO344" s="84"/>
      <c r="ES344" s="84"/>
      <c r="EW344" s="84"/>
    </row>
    <row r="345" customFormat="false" ht="12.75" hidden="false" customHeight="false" outlineLevel="0" collapsed="false">
      <c r="A345" s="37"/>
      <c r="E345" s="83"/>
      <c r="J345" s="84"/>
      <c r="N345" s="84"/>
      <c r="R345" s="84"/>
      <c r="V345" s="84"/>
      <c r="Z345" s="84"/>
      <c r="AD345" s="84"/>
      <c r="AH345" s="84"/>
      <c r="AL345" s="84"/>
      <c r="AP345" s="84"/>
      <c r="AT345" s="84"/>
      <c r="AX345" s="84"/>
      <c r="BB345" s="85"/>
      <c r="BC345" s="84"/>
      <c r="BD345" s="84"/>
      <c r="BF345" s="84"/>
      <c r="BL345" s="84"/>
      <c r="BP345" s="86"/>
      <c r="BV345" s="84"/>
      <c r="CA345" s="84"/>
      <c r="CF345" s="84"/>
      <c r="CK345" s="84"/>
      <c r="CP345" s="84"/>
      <c r="CS345" s="86"/>
      <c r="CT345" s="84"/>
      <c r="CW345" s="86"/>
      <c r="CX345" s="84"/>
      <c r="DA345" s="86"/>
      <c r="DB345" s="84"/>
      <c r="DE345" s="86"/>
      <c r="DF345" s="84"/>
      <c r="DI345" s="86"/>
      <c r="DJ345" s="84"/>
      <c r="DM345" s="86"/>
      <c r="DN345" s="84"/>
      <c r="DQ345" s="86"/>
      <c r="DR345" s="85"/>
      <c r="DS345" s="85"/>
      <c r="DT345" s="84"/>
      <c r="DV345" s="84"/>
      <c r="DW345" s="157"/>
      <c r="EB345" s="84"/>
      <c r="EG345" s="84"/>
      <c r="EK345" s="84"/>
      <c r="EO345" s="84"/>
      <c r="ES345" s="84"/>
      <c r="EW345" s="84"/>
    </row>
    <row r="346" customFormat="false" ht="12.75" hidden="false" customHeight="false" outlineLevel="0" collapsed="false">
      <c r="A346" s="37"/>
      <c r="E346" s="83"/>
      <c r="J346" s="84"/>
      <c r="N346" s="84"/>
      <c r="R346" s="84"/>
      <c r="V346" s="84"/>
      <c r="Z346" s="84"/>
      <c r="AD346" s="84"/>
      <c r="AH346" s="84"/>
      <c r="AL346" s="84"/>
      <c r="AP346" s="84"/>
      <c r="AT346" s="84"/>
      <c r="AX346" s="84"/>
      <c r="BB346" s="85"/>
      <c r="BC346" s="84"/>
      <c r="BD346" s="84"/>
      <c r="BF346" s="84"/>
      <c r="BL346" s="84"/>
      <c r="BP346" s="86"/>
      <c r="BV346" s="84"/>
      <c r="CA346" s="84"/>
      <c r="CF346" s="84"/>
      <c r="CK346" s="84"/>
      <c r="CP346" s="84"/>
      <c r="CS346" s="86"/>
      <c r="CT346" s="84"/>
      <c r="CW346" s="86"/>
      <c r="CX346" s="84"/>
      <c r="DA346" s="86"/>
      <c r="DB346" s="84"/>
      <c r="DE346" s="86"/>
      <c r="DF346" s="84"/>
      <c r="DI346" s="86"/>
      <c r="DJ346" s="84"/>
      <c r="DM346" s="86"/>
      <c r="DN346" s="84"/>
      <c r="DQ346" s="86"/>
      <c r="DR346" s="85"/>
      <c r="DS346" s="85"/>
      <c r="DT346" s="84"/>
      <c r="DV346" s="84"/>
      <c r="DW346" s="157"/>
      <c r="EB346" s="84"/>
      <c r="EG346" s="84"/>
      <c r="EK346" s="84"/>
      <c r="EO346" s="84"/>
      <c r="ES346" s="84"/>
      <c r="EW346" s="84"/>
    </row>
    <row r="347" customFormat="false" ht="12.75" hidden="false" customHeight="false" outlineLevel="0" collapsed="false">
      <c r="A347" s="37"/>
      <c r="E347" s="83"/>
      <c r="J347" s="84"/>
      <c r="N347" s="84"/>
      <c r="R347" s="84"/>
      <c r="V347" s="84"/>
      <c r="Z347" s="84"/>
      <c r="AD347" s="84"/>
      <c r="AH347" s="84"/>
      <c r="AL347" s="84"/>
      <c r="AP347" s="84"/>
      <c r="AT347" s="84"/>
      <c r="AX347" s="84"/>
      <c r="BB347" s="85"/>
      <c r="BC347" s="84"/>
      <c r="BD347" s="84"/>
      <c r="BF347" s="84"/>
      <c r="BL347" s="84"/>
      <c r="BP347" s="86"/>
      <c r="BV347" s="84"/>
      <c r="CA347" s="84"/>
      <c r="CF347" s="84"/>
      <c r="CK347" s="84"/>
      <c r="CP347" s="84"/>
      <c r="CS347" s="86"/>
      <c r="CT347" s="84"/>
      <c r="CW347" s="86"/>
      <c r="CX347" s="84"/>
      <c r="DA347" s="86"/>
      <c r="DB347" s="84"/>
      <c r="DE347" s="86"/>
      <c r="DF347" s="84"/>
      <c r="DI347" s="86"/>
      <c r="DJ347" s="84"/>
      <c r="DM347" s="86"/>
      <c r="DN347" s="84"/>
      <c r="DQ347" s="86"/>
      <c r="DR347" s="85"/>
      <c r="DS347" s="85"/>
      <c r="DT347" s="84"/>
      <c r="DV347" s="84"/>
      <c r="DW347" s="157"/>
      <c r="EB347" s="84"/>
      <c r="EG347" s="84"/>
      <c r="EK347" s="84"/>
      <c r="EO347" s="84"/>
      <c r="ES347" s="84"/>
      <c r="EW347" s="84"/>
    </row>
    <row r="348" customFormat="false" ht="12.75" hidden="false" customHeight="false" outlineLevel="0" collapsed="false">
      <c r="A348" s="37"/>
      <c r="E348" s="83"/>
      <c r="J348" s="84"/>
      <c r="N348" s="84"/>
      <c r="R348" s="84"/>
      <c r="V348" s="84"/>
      <c r="Z348" s="84"/>
      <c r="AD348" s="84"/>
      <c r="AH348" s="84"/>
      <c r="AL348" s="84"/>
      <c r="AP348" s="84"/>
      <c r="AT348" s="84"/>
      <c r="AX348" s="84"/>
      <c r="BB348" s="85"/>
      <c r="BC348" s="84"/>
      <c r="BD348" s="84"/>
      <c r="BF348" s="84"/>
      <c r="BL348" s="84"/>
      <c r="BP348" s="86"/>
      <c r="BV348" s="84"/>
      <c r="CA348" s="84"/>
      <c r="CF348" s="84"/>
      <c r="CK348" s="84"/>
      <c r="CP348" s="84"/>
      <c r="CS348" s="86"/>
      <c r="CT348" s="84"/>
      <c r="CW348" s="86"/>
      <c r="CX348" s="84"/>
      <c r="DA348" s="86"/>
      <c r="DB348" s="84"/>
      <c r="DE348" s="86"/>
      <c r="DF348" s="84"/>
      <c r="DI348" s="86"/>
      <c r="DJ348" s="84"/>
      <c r="DM348" s="86"/>
      <c r="DN348" s="84"/>
      <c r="DQ348" s="86"/>
      <c r="DR348" s="85"/>
      <c r="DS348" s="85"/>
      <c r="DT348" s="84"/>
      <c r="DV348" s="84"/>
      <c r="DW348" s="157"/>
      <c r="EB348" s="84"/>
      <c r="EG348" s="84"/>
      <c r="EK348" s="84"/>
      <c r="EO348" s="84"/>
      <c r="ES348" s="84"/>
      <c r="EW348" s="84"/>
    </row>
    <row r="349" customFormat="false" ht="12.75" hidden="false" customHeight="false" outlineLevel="0" collapsed="false">
      <c r="A349" s="37"/>
      <c r="E349" s="83"/>
      <c r="J349" s="84"/>
      <c r="N349" s="84"/>
      <c r="R349" s="84"/>
      <c r="V349" s="84"/>
      <c r="Z349" s="84"/>
      <c r="AD349" s="84"/>
      <c r="AH349" s="84"/>
      <c r="AL349" s="84"/>
      <c r="AP349" s="84"/>
      <c r="AT349" s="84"/>
      <c r="AX349" s="84"/>
      <c r="BB349" s="85"/>
      <c r="BC349" s="84"/>
      <c r="BD349" s="84"/>
      <c r="BF349" s="84"/>
      <c r="BL349" s="84"/>
      <c r="BP349" s="86"/>
      <c r="BV349" s="84"/>
      <c r="CA349" s="84"/>
      <c r="CF349" s="84"/>
      <c r="CK349" s="84"/>
      <c r="CP349" s="84"/>
      <c r="CS349" s="86"/>
      <c r="CT349" s="84"/>
      <c r="CW349" s="86"/>
      <c r="CX349" s="84"/>
      <c r="DA349" s="86"/>
      <c r="DB349" s="84"/>
      <c r="DE349" s="86"/>
      <c r="DF349" s="84"/>
      <c r="DI349" s="86"/>
      <c r="DJ349" s="84"/>
      <c r="DM349" s="86"/>
      <c r="DN349" s="84"/>
      <c r="DQ349" s="86"/>
      <c r="DR349" s="85"/>
      <c r="DS349" s="85"/>
      <c r="DT349" s="84"/>
      <c r="DV349" s="84"/>
      <c r="DW349" s="157"/>
      <c r="EB349" s="84"/>
      <c r="EG349" s="84"/>
      <c r="EK349" s="84"/>
      <c r="EO349" s="84"/>
      <c r="ES349" s="84"/>
      <c r="EW349" s="84"/>
    </row>
    <row r="350" customFormat="false" ht="12.75" hidden="false" customHeight="false" outlineLevel="0" collapsed="false">
      <c r="A350" s="37"/>
      <c r="E350" s="83"/>
      <c r="J350" s="84"/>
      <c r="N350" s="84"/>
      <c r="R350" s="84"/>
      <c r="V350" s="84"/>
      <c r="Z350" s="84"/>
      <c r="AD350" s="84"/>
      <c r="AH350" s="84"/>
      <c r="AL350" s="84"/>
      <c r="AP350" s="84"/>
      <c r="AT350" s="84"/>
      <c r="AX350" s="84"/>
      <c r="BB350" s="85"/>
      <c r="BC350" s="84"/>
      <c r="BD350" s="84"/>
      <c r="BF350" s="84"/>
      <c r="BL350" s="84"/>
      <c r="BP350" s="86"/>
      <c r="BV350" s="84"/>
      <c r="CA350" s="84"/>
      <c r="CF350" s="84"/>
      <c r="CK350" s="84"/>
      <c r="CP350" s="84"/>
      <c r="CS350" s="86"/>
      <c r="CT350" s="84"/>
      <c r="CW350" s="86"/>
      <c r="CX350" s="84"/>
      <c r="DA350" s="86"/>
      <c r="DB350" s="84"/>
      <c r="DE350" s="86"/>
      <c r="DF350" s="84"/>
      <c r="DI350" s="86"/>
      <c r="DJ350" s="84"/>
      <c r="DM350" s="86"/>
      <c r="DN350" s="84"/>
      <c r="DQ350" s="86"/>
      <c r="DR350" s="85"/>
      <c r="DS350" s="85"/>
      <c r="DT350" s="84"/>
      <c r="DV350" s="84"/>
      <c r="DW350" s="157"/>
      <c r="EB350" s="84"/>
      <c r="EG350" s="84"/>
      <c r="EK350" s="84"/>
      <c r="EO350" s="84"/>
      <c r="ES350" s="84"/>
      <c r="EW350" s="84"/>
    </row>
    <row r="351" customFormat="false" ht="12.75" hidden="false" customHeight="false" outlineLevel="0" collapsed="false">
      <c r="A351" s="37"/>
      <c r="E351" s="83"/>
      <c r="J351" s="84"/>
      <c r="N351" s="84"/>
      <c r="R351" s="84"/>
      <c r="V351" s="84"/>
      <c r="Z351" s="84"/>
      <c r="AD351" s="84"/>
      <c r="AH351" s="84"/>
      <c r="AL351" s="84"/>
      <c r="AP351" s="84"/>
      <c r="AT351" s="84"/>
      <c r="AX351" s="84"/>
      <c r="BB351" s="85"/>
      <c r="BC351" s="84"/>
      <c r="BD351" s="84"/>
      <c r="BF351" s="84"/>
      <c r="BL351" s="84"/>
      <c r="BP351" s="86"/>
      <c r="BV351" s="84"/>
      <c r="CA351" s="84"/>
      <c r="CF351" s="84"/>
      <c r="CK351" s="84"/>
      <c r="CP351" s="84"/>
      <c r="CS351" s="86"/>
      <c r="CT351" s="84"/>
      <c r="CW351" s="86"/>
      <c r="CX351" s="84"/>
      <c r="DA351" s="86"/>
      <c r="DB351" s="84"/>
      <c r="DE351" s="86"/>
      <c r="DF351" s="84"/>
      <c r="DI351" s="86"/>
      <c r="DJ351" s="84"/>
      <c r="DM351" s="86"/>
      <c r="DN351" s="84"/>
      <c r="DQ351" s="86"/>
      <c r="DR351" s="85"/>
      <c r="DS351" s="85"/>
      <c r="DT351" s="84"/>
      <c r="DV351" s="84"/>
      <c r="DW351" s="157"/>
      <c r="EB351" s="84"/>
      <c r="EG351" s="84"/>
      <c r="EK351" s="84"/>
      <c r="EO351" s="84"/>
      <c r="ES351" s="84"/>
      <c r="EW351" s="84"/>
    </row>
    <row r="352" customFormat="false" ht="12.75" hidden="false" customHeight="false" outlineLevel="0" collapsed="false">
      <c r="A352" s="37"/>
      <c r="E352" s="83"/>
      <c r="J352" s="84"/>
      <c r="N352" s="84"/>
      <c r="R352" s="84"/>
      <c r="V352" s="84"/>
      <c r="Z352" s="84"/>
      <c r="AD352" s="84"/>
      <c r="AH352" s="84"/>
      <c r="AL352" s="84"/>
      <c r="AP352" s="84"/>
      <c r="AT352" s="84"/>
      <c r="AX352" s="84"/>
      <c r="BB352" s="85"/>
      <c r="BC352" s="84"/>
      <c r="BD352" s="84"/>
      <c r="BF352" s="84"/>
      <c r="BL352" s="84"/>
      <c r="BP352" s="86"/>
      <c r="BV352" s="84"/>
      <c r="CA352" s="84"/>
      <c r="CF352" s="84"/>
      <c r="CK352" s="84"/>
      <c r="CP352" s="84"/>
      <c r="CS352" s="86"/>
      <c r="CT352" s="84"/>
      <c r="CW352" s="86"/>
      <c r="CX352" s="84"/>
      <c r="DA352" s="86"/>
      <c r="DB352" s="84"/>
      <c r="DE352" s="86"/>
      <c r="DF352" s="84"/>
      <c r="DI352" s="86"/>
      <c r="DJ352" s="84"/>
      <c r="DM352" s="86"/>
      <c r="DN352" s="84"/>
      <c r="DQ352" s="86"/>
      <c r="DR352" s="85"/>
      <c r="DS352" s="85"/>
      <c r="DT352" s="84"/>
      <c r="DV352" s="84"/>
      <c r="DW352" s="157"/>
      <c r="EB352" s="84"/>
      <c r="EG352" s="84"/>
      <c r="EK352" s="84"/>
      <c r="EO352" s="84"/>
      <c r="ES352" s="84"/>
      <c r="EW352" s="84"/>
    </row>
    <row r="353" customFormat="false" ht="12.75" hidden="false" customHeight="false" outlineLevel="0" collapsed="false">
      <c r="A353" s="37"/>
      <c r="E353" s="83"/>
      <c r="J353" s="84"/>
      <c r="N353" s="84"/>
      <c r="R353" s="84"/>
      <c r="V353" s="84"/>
      <c r="Z353" s="84"/>
      <c r="AD353" s="84"/>
      <c r="AH353" s="84"/>
      <c r="AL353" s="84"/>
      <c r="AP353" s="84"/>
      <c r="AT353" s="84"/>
      <c r="AX353" s="84"/>
      <c r="BB353" s="85"/>
      <c r="BC353" s="84"/>
      <c r="BD353" s="84"/>
      <c r="BF353" s="84"/>
      <c r="BL353" s="84"/>
      <c r="BP353" s="86"/>
      <c r="BV353" s="84"/>
      <c r="CA353" s="84"/>
      <c r="CF353" s="84"/>
      <c r="CK353" s="84"/>
      <c r="CP353" s="84"/>
      <c r="CS353" s="86"/>
      <c r="CT353" s="84"/>
      <c r="CW353" s="86"/>
      <c r="CX353" s="84"/>
      <c r="DA353" s="86"/>
      <c r="DB353" s="84"/>
      <c r="DE353" s="86"/>
      <c r="DF353" s="84"/>
      <c r="DI353" s="86"/>
      <c r="DJ353" s="84"/>
      <c r="DM353" s="86"/>
      <c r="DN353" s="84"/>
      <c r="DQ353" s="86"/>
      <c r="DR353" s="85"/>
      <c r="DS353" s="85"/>
      <c r="DT353" s="84"/>
      <c r="DV353" s="84"/>
      <c r="DW353" s="157"/>
      <c r="EB353" s="84"/>
      <c r="EG353" s="84"/>
      <c r="EK353" s="84"/>
      <c r="EO353" s="84"/>
      <c r="ES353" s="84"/>
      <c r="EW353" s="84"/>
    </row>
    <row r="354" customFormat="false" ht="12.75" hidden="false" customHeight="false" outlineLevel="0" collapsed="false">
      <c r="A354" s="37"/>
      <c r="E354" s="83"/>
      <c r="J354" s="84"/>
      <c r="N354" s="84"/>
      <c r="R354" s="84"/>
      <c r="V354" s="84"/>
      <c r="Z354" s="84"/>
      <c r="AD354" s="84"/>
      <c r="AH354" s="84"/>
      <c r="AL354" s="84"/>
      <c r="AP354" s="84"/>
      <c r="AT354" s="84"/>
      <c r="AX354" s="84"/>
      <c r="BB354" s="85"/>
      <c r="BC354" s="84"/>
      <c r="BD354" s="84"/>
      <c r="BF354" s="84"/>
      <c r="BL354" s="84"/>
      <c r="BP354" s="86"/>
      <c r="BV354" s="84"/>
      <c r="CA354" s="84"/>
      <c r="CF354" s="84"/>
      <c r="CK354" s="84"/>
      <c r="CP354" s="84"/>
      <c r="CS354" s="86"/>
      <c r="CT354" s="84"/>
      <c r="CW354" s="86"/>
      <c r="CX354" s="84"/>
      <c r="DA354" s="86"/>
      <c r="DB354" s="84"/>
      <c r="DE354" s="86"/>
      <c r="DF354" s="84"/>
      <c r="DI354" s="86"/>
      <c r="DJ354" s="84"/>
      <c r="DM354" s="86"/>
      <c r="DN354" s="84"/>
      <c r="DQ354" s="86"/>
      <c r="DR354" s="85"/>
      <c r="DS354" s="85"/>
      <c r="DT354" s="84"/>
      <c r="DV354" s="84"/>
      <c r="DW354" s="157"/>
      <c r="EB354" s="84"/>
      <c r="EG354" s="84"/>
      <c r="EK354" s="84"/>
      <c r="EO354" s="84"/>
      <c r="ES354" s="84"/>
      <c r="EW354" s="84"/>
    </row>
    <row r="355" customFormat="false" ht="12.75" hidden="false" customHeight="false" outlineLevel="0" collapsed="false">
      <c r="A355" s="37"/>
      <c r="E355" s="83"/>
      <c r="J355" s="84"/>
      <c r="N355" s="84"/>
      <c r="R355" s="84"/>
      <c r="V355" s="84"/>
      <c r="Z355" s="84"/>
      <c r="AD355" s="84"/>
      <c r="AH355" s="84"/>
      <c r="AL355" s="84"/>
      <c r="AP355" s="84"/>
      <c r="AT355" s="84"/>
      <c r="AX355" s="84"/>
      <c r="BB355" s="85"/>
      <c r="BC355" s="84"/>
      <c r="BD355" s="84"/>
      <c r="BF355" s="84"/>
      <c r="BL355" s="84"/>
      <c r="BP355" s="86"/>
      <c r="BV355" s="84"/>
      <c r="CA355" s="84"/>
      <c r="CF355" s="84"/>
      <c r="CK355" s="84"/>
      <c r="CP355" s="84"/>
      <c r="CS355" s="86"/>
      <c r="CT355" s="84"/>
      <c r="CW355" s="86"/>
      <c r="CX355" s="84"/>
      <c r="DA355" s="86"/>
      <c r="DB355" s="84"/>
      <c r="DE355" s="86"/>
      <c r="DF355" s="84"/>
      <c r="DI355" s="86"/>
      <c r="DJ355" s="84"/>
      <c r="DM355" s="86"/>
      <c r="DN355" s="84"/>
      <c r="DQ355" s="86"/>
      <c r="DR355" s="85"/>
      <c r="DS355" s="85"/>
      <c r="DT355" s="84"/>
      <c r="DV355" s="84"/>
      <c r="DW355" s="157"/>
      <c r="EB355" s="84"/>
      <c r="EG355" s="84"/>
      <c r="EK355" s="84"/>
      <c r="EO355" s="84"/>
      <c r="ES355" s="84"/>
      <c r="EW355" s="84"/>
    </row>
    <row r="356" customFormat="false" ht="12.75" hidden="false" customHeight="false" outlineLevel="0" collapsed="false">
      <c r="A356" s="37"/>
      <c r="E356" s="83"/>
      <c r="J356" s="84"/>
      <c r="N356" s="84"/>
      <c r="R356" s="84"/>
      <c r="V356" s="84"/>
      <c r="Z356" s="84"/>
      <c r="AD356" s="84"/>
      <c r="AH356" s="84"/>
      <c r="AL356" s="84"/>
      <c r="AP356" s="84"/>
      <c r="AT356" s="84"/>
      <c r="AX356" s="84"/>
      <c r="BB356" s="85"/>
      <c r="BC356" s="84"/>
      <c r="BD356" s="84"/>
      <c r="BF356" s="84"/>
      <c r="BL356" s="84"/>
      <c r="BP356" s="86"/>
      <c r="BV356" s="84"/>
      <c r="CA356" s="84"/>
      <c r="CF356" s="84"/>
      <c r="CK356" s="84"/>
      <c r="CP356" s="84"/>
      <c r="CS356" s="86"/>
      <c r="CT356" s="84"/>
      <c r="CW356" s="86"/>
      <c r="CX356" s="84"/>
      <c r="DA356" s="86"/>
      <c r="DB356" s="84"/>
      <c r="DE356" s="86"/>
      <c r="DF356" s="84"/>
      <c r="DI356" s="86"/>
      <c r="DJ356" s="84"/>
      <c r="DM356" s="86"/>
      <c r="DN356" s="84"/>
      <c r="DQ356" s="86"/>
      <c r="DR356" s="85"/>
      <c r="DS356" s="85"/>
      <c r="DT356" s="84"/>
      <c r="DV356" s="84"/>
      <c r="DW356" s="157"/>
      <c r="EB356" s="84"/>
      <c r="EG356" s="84"/>
      <c r="EK356" s="84"/>
      <c r="EO356" s="84"/>
      <c r="ES356" s="84"/>
      <c r="EW356" s="84"/>
    </row>
    <row r="357" customFormat="false" ht="12.75" hidden="false" customHeight="false" outlineLevel="0" collapsed="false">
      <c r="A357" s="37"/>
      <c r="E357" s="83"/>
      <c r="J357" s="84"/>
      <c r="N357" s="84"/>
      <c r="R357" s="84"/>
      <c r="V357" s="84"/>
      <c r="Z357" s="84"/>
      <c r="AD357" s="84"/>
      <c r="AH357" s="84"/>
      <c r="AL357" s="84"/>
      <c r="AP357" s="84"/>
      <c r="AT357" s="84"/>
      <c r="AX357" s="84"/>
      <c r="BB357" s="85"/>
      <c r="BC357" s="84"/>
      <c r="BD357" s="84"/>
      <c r="BF357" s="84"/>
      <c r="BL357" s="84"/>
      <c r="BP357" s="86"/>
      <c r="BV357" s="84"/>
      <c r="CA357" s="84"/>
      <c r="CF357" s="84"/>
      <c r="CK357" s="84"/>
      <c r="CP357" s="84"/>
      <c r="CS357" s="86"/>
      <c r="CT357" s="84"/>
      <c r="CW357" s="86"/>
      <c r="CX357" s="84"/>
      <c r="DA357" s="86"/>
      <c r="DB357" s="84"/>
      <c r="DE357" s="86"/>
      <c r="DF357" s="84"/>
      <c r="DI357" s="86"/>
      <c r="DJ357" s="84"/>
      <c r="DM357" s="86"/>
      <c r="DN357" s="84"/>
      <c r="DQ357" s="86"/>
      <c r="DR357" s="85"/>
      <c r="DS357" s="85"/>
      <c r="DT357" s="84"/>
      <c r="DV357" s="84"/>
      <c r="DW357" s="157"/>
      <c r="EB357" s="84"/>
      <c r="EG357" s="84"/>
      <c r="EK357" s="84"/>
      <c r="EO357" s="84"/>
      <c r="ES357" s="84"/>
      <c r="EW357" s="84"/>
    </row>
    <row r="358" customFormat="false" ht="12.75" hidden="false" customHeight="false" outlineLevel="0" collapsed="false">
      <c r="A358" s="37"/>
      <c r="E358" s="83"/>
      <c r="J358" s="84"/>
      <c r="N358" s="84"/>
      <c r="R358" s="84"/>
      <c r="V358" s="84"/>
      <c r="Z358" s="84"/>
      <c r="AD358" s="84"/>
      <c r="AH358" s="84"/>
      <c r="AL358" s="84"/>
      <c r="AP358" s="84"/>
      <c r="AT358" s="84"/>
      <c r="AX358" s="84"/>
      <c r="BB358" s="85"/>
      <c r="BC358" s="84"/>
      <c r="BD358" s="84"/>
      <c r="BF358" s="84"/>
      <c r="BL358" s="84"/>
      <c r="BP358" s="86"/>
      <c r="BV358" s="84"/>
      <c r="CA358" s="84"/>
      <c r="CF358" s="84"/>
      <c r="CK358" s="84"/>
      <c r="CP358" s="84"/>
      <c r="CS358" s="86"/>
      <c r="CT358" s="84"/>
      <c r="CW358" s="86"/>
      <c r="CX358" s="84"/>
      <c r="DA358" s="86"/>
      <c r="DB358" s="84"/>
      <c r="DE358" s="86"/>
      <c r="DF358" s="84"/>
      <c r="DI358" s="86"/>
      <c r="DJ358" s="84"/>
      <c r="DM358" s="86"/>
      <c r="DN358" s="84"/>
      <c r="DQ358" s="86"/>
      <c r="DR358" s="85"/>
      <c r="DS358" s="85"/>
      <c r="DT358" s="84"/>
      <c r="DV358" s="84"/>
      <c r="DW358" s="157"/>
      <c r="EB358" s="84"/>
      <c r="EG358" s="84"/>
      <c r="EK358" s="84"/>
      <c r="EO358" s="84"/>
      <c r="ES358" s="84"/>
      <c r="EW358" s="84"/>
    </row>
    <row r="359" customFormat="false" ht="12.75" hidden="false" customHeight="false" outlineLevel="0" collapsed="false">
      <c r="A359" s="37"/>
      <c r="E359" s="83"/>
      <c r="J359" s="84"/>
      <c r="N359" s="84"/>
      <c r="R359" s="84"/>
      <c r="V359" s="84"/>
      <c r="Z359" s="84"/>
      <c r="AD359" s="84"/>
      <c r="AH359" s="84"/>
      <c r="AL359" s="84"/>
      <c r="AP359" s="84"/>
      <c r="AT359" s="84"/>
      <c r="AX359" s="84"/>
      <c r="BB359" s="85"/>
      <c r="BC359" s="84"/>
      <c r="BD359" s="84"/>
      <c r="BF359" s="84"/>
      <c r="BL359" s="84"/>
      <c r="BP359" s="86"/>
      <c r="BV359" s="84"/>
      <c r="CA359" s="84"/>
      <c r="CF359" s="84"/>
      <c r="CK359" s="84"/>
      <c r="CP359" s="84"/>
      <c r="CS359" s="86"/>
      <c r="CT359" s="84"/>
      <c r="CW359" s="86"/>
      <c r="CX359" s="84"/>
      <c r="DA359" s="86"/>
      <c r="DB359" s="84"/>
      <c r="DE359" s="86"/>
      <c r="DF359" s="84"/>
      <c r="DI359" s="86"/>
      <c r="DJ359" s="84"/>
      <c r="DM359" s="86"/>
      <c r="DN359" s="84"/>
      <c r="DQ359" s="86"/>
      <c r="DR359" s="85"/>
      <c r="DS359" s="85"/>
      <c r="DT359" s="84"/>
      <c r="DV359" s="84"/>
      <c r="DW359" s="157"/>
      <c r="EB359" s="84"/>
      <c r="EG359" s="84"/>
      <c r="EK359" s="84"/>
      <c r="EO359" s="84"/>
      <c r="ES359" s="84"/>
      <c r="EW359" s="84"/>
    </row>
    <row r="360" customFormat="false" ht="12.75" hidden="false" customHeight="false" outlineLevel="0" collapsed="false">
      <c r="A360" s="37"/>
      <c r="E360" s="83"/>
      <c r="J360" s="84"/>
      <c r="N360" s="84"/>
      <c r="R360" s="84"/>
      <c r="V360" s="84"/>
      <c r="Z360" s="84"/>
      <c r="AD360" s="84"/>
      <c r="AH360" s="84"/>
      <c r="AL360" s="84"/>
      <c r="AP360" s="84"/>
      <c r="AT360" s="84"/>
      <c r="AX360" s="84"/>
      <c r="BB360" s="85"/>
      <c r="BC360" s="84"/>
      <c r="BD360" s="84"/>
      <c r="BF360" s="84"/>
      <c r="BL360" s="84"/>
      <c r="BP360" s="86"/>
      <c r="BV360" s="84"/>
      <c r="CA360" s="84"/>
      <c r="CF360" s="84"/>
      <c r="CK360" s="84"/>
      <c r="CP360" s="84"/>
      <c r="CS360" s="86"/>
      <c r="CT360" s="84"/>
      <c r="CW360" s="86"/>
      <c r="CX360" s="84"/>
      <c r="DA360" s="86"/>
      <c r="DB360" s="84"/>
      <c r="DE360" s="86"/>
      <c r="DF360" s="84"/>
      <c r="DI360" s="86"/>
      <c r="DJ360" s="84"/>
      <c r="DM360" s="86"/>
      <c r="DN360" s="84"/>
      <c r="DQ360" s="86"/>
      <c r="DR360" s="85"/>
      <c r="DS360" s="85"/>
      <c r="DT360" s="84"/>
      <c r="DV360" s="84"/>
      <c r="DW360" s="157"/>
      <c r="EB360" s="84"/>
      <c r="EG360" s="84"/>
      <c r="EK360" s="84"/>
      <c r="EO360" s="84"/>
      <c r="ES360" s="84"/>
      <c r="EW360" s="84"/>
    </row>
    <row r="361" customFormat="false" ht="12.75" hidden="false" customHeight="false" outlineLevel="0" collapsed="false">
      <c r="A361" s="37"/>
      <c r="E361" s="83"/>
      <c r="J361" s="84"/>
      <c r="N361" s="84"/>
      <c r="R361" s="84"/>
      <c r="V361" s="84"/>
      <c r="Z361" s="84"/>
      <c r="AD361" s="84"/>
      <c r="AH361" s="84"/>
      <c r="AL361" s="84"/>
      <c r="AP361" s="84"/>
      <c r="AT361" s="84"/>
      <c r="AX361" s="84"/>
      <c r="BB361" s="85"/>
      <c r="BC361" s="84"/>
      <c r="BD361" s="84"/>
      <c r="BF361" s="84"/>
      <c r="BL361" s="84"/>
      <c r="BP361" s="86"/>
      <c r="BV361" s="84"/>
      <c r="CA361" s="84"/>
      <c r="CF361" s="84"/>
      <c r="CK361" s="84"/>
      <c r="CP361" s="84"/>
      <c r="CS361" s="86"/>
      <c r="CT361" s="84"/>
      <c r="CW361" s="86"/>
      <c r="CX361" s="84"/>
      <c r="DA361" s="86"/>
      <c r="DB361" s="84"/>
      <c r="DE361" s="86"/>
      <c r="DF361" s="84"/>
      <c r="DI361" s="86"/>
      <c r="DJ361" s="84"/>
      <c r="DM361" s="86"/>
      <c r="DN361" s="84"/>
      <c r="DQ361" s="86"/>
      <c r="DR361" s="85"/>
      <c r="DS361" s="85"/>
      <c r="DT361" s="84"/>
      <c r="DV361" s="84"/>
      <c r="DW361" s="157"/>
      <c r="EB361" s="84"/>
      <c r="EG361" s="84"/>
      <c r="EK361" s="84"/>
      <c r="EO361" s="84"/>
      <c r="ES361" s="84"/>
      <c r="EW361" s="84"/>
    </row>
    <row r="362" customFormat="false" ht="12.75" hidden="false" customHeight="false" outlineLevel="0" collapsed="false">
      <c r="A362" s="37"/>
      <c r="E362" s="83"/>
      <c r="J362" s="84"/>
      <c r="N362" s="84"/>
      <c r="R362" s="84"/>
      <c r="V362" s="84"/>
      <c r="Z362" s="84"/>
      <c r="AD362" s="84"/>
      <c r="AH362" s="84"/>
      <c r="AL362" s="84"/>
      <c r="AP362" s="84"/>
      <c r="AT362" s="84"/>
      <c r="AX362" s="84"/>
      <c r="BB362" s="85"/>
      <c r="BC362" s="84"/>
      <c r="BD362" s="84"/>
      <c r="BF362" s="84"/>
      <c r="BL362" s="84"/>
      <c r="BP362" s="86"/>
      <c r="BV362" s="84"/>
      <c r="CA362" s="84"/>
      <c r="CF362" s="84"/>
      <c r="CK362" s="84"/>
      <c r="CP362" s="84"/>
      <c r="CS362" s="86"/>
      <c r="CT362" s="84"/>
      <c r="CW362" s="86"/>
      <c r="CX362" s="84"/>
      <c r="DA362" s="86"/>
      <c r="DB362" s="84"/>
      <c r="DE362" s="86"/>
      <c r="DF362" s="84"/>
      <c r="DI362" s="86"/>
      <c r="DJ362" s="84"/>
      <c r="DM362" s="86"/>
      <c r="DN362" s="84"/>
      <c r="DQ362" s="86"/>
      <c r="DR362" s="85"/>
      <c r="DS362" s="85"/>
      <c r="DT362" s="84"/>
      <c r="DV362" s="84"/>
      <c r="DW362" s="157"/>
      <c r="EB362" s="84"/>
      <c r="EG362" s="84"/>
      <c r="EK362" s="84"/>
      <c r="EO362" s="84"/>
      <c r="ES362" s="84"/>
      <c r="EW362" s="84"/>
    </row>
    <row r="363" customFormat="false" ht="12.75" hidden="false" customHeight="false" outlineLevel="0" collapsed="false">
      <c r="A363" s="37"/>
      <c r="E363" s="83"/>
      <c r="J363" s="84"/>
      <c r="N363" s="84"/>
      <c r="R363" s="84"/>
      <c r="V363" s="84"/>
      <c r="Z363" s="84"/>
      <c r="AD363" s="84"/>
      <c r="AH363" s="84"/>
      <c r="AL363" s="84"/>
      <c r="AP363" s="84"/>
      <c r="AT363" s="84"/>
      <c r="AX363" s="84"/>
      <c r="BB363" s="85"/>
      <c r="BC363" s="84"/>
      <c r="BD363" s="84"/>
      <c r="BF363" s="84"/>
      <c r="BL363" s="84"/>
      <c r="BP363" s="86"/>
      <c r="BV363" s="84"/>
      <c r="CA363" s="84"/>
      <c r="CF363" s="84"/>
      <c r="CK363" s="84"/>
      <c r="CP363" s="84"/>
      <c r="CS363" s="86"/>
      <c r="CT363" s="84"/>
      <c r="CW363" s="86"/>
      <c r="CX363" s="84"/>
      <c r="DA363" s="86"/>
      <c r="DB363" s="84"/>
      <c r="DE363" s="86"/>
      <c r="DF363" s="84"/>
      <c r="DI363" s="86"/>
      <c r="DJ363" s="84"/>
      <c r="DM363" s="86"/>
      <c r="DN363" s="84"/>
      <c r="DQ363" s="86"/>
      <c r="DR363" s="85"/>
      <c r="DS363" s="85"/>
      <c r="DT363" s="84"/>
      <c r="DV363" s="84"/>
      <c r="DW363" s="157"/>
      <c r="EB363" s="84"/>
      <c r="EG363" s="84"/>
      <c r="EK363" s="84"/>
      <c r="EO363" s="84"/>
      <c r="ES363" s="84"/>
      <c r="EW363" s="84"/>
    </row>
    <row r="364" customFormat="false" ht="12.75" hidden="false" customHeight="false" outlineLevel="0" collapsed="false">
      <c r="A364" s="37"/>
      <c r="E364" s="83"/>
      <c r="J364" s="84"/>
      <c r="N364" s="84"/>
      <c r="R364" s="84"/>
      <c r="V364" s="84"/>
      <c r="Z364" s="84"/>
      <c r="AD364" s="84"/>
      <c r="AH364" s="84"/>
      <c r="AL364" s="84"/>
      <c r="AP364" s="84"/>
      <c r="AT364" s="84"/>
      <c r="AX364" s="84"/>
      <c r="BB364" s="85"/>
      <c r="BC364" s="84"/>
      <c r="BD364" s="84"/>
      <c r="BF364" s="84"/>
      <c r="BL364" s="84"/>
      <c r="BP364" s="86"/>
      <c r="BV364" s="84"/>
      <c r="CA364" s="84"/>
      <c r="CF364" s="84"/>
      <c r="CK364" s="84"/>
      <c r="CP364" s="84"/>
      <c r="CS364" s="86"/>
      <c r="CT364" s="84"/>
      <c r="CW364" s="86"/>
      <c r="CX364" s="84"/>
      <c r="DA364" s="86"/>
      <c r="DB364" s="84"/>
      <c r="DE364" s="86"/>
      <c r="DF364" s="84"/>
      <c r="DI364" s="86"/>
      <c r="DJ364" s="84"/>
      <c r="DM364" s="86"/>
      <c r="DN364" s="84"/>
      <c r="DQ364" s="86"/>
      <c r="DR364" s="85"/>
      <c r="DS364" s="85"/>
      <c r="DT364" s="84"/>
      <c r="DV364" s="84"/>
      <c r="DW364" s="157"/>
      <c r="EB364" s="84"/>
      <c r="EG364" s="84"/>
      <c r="EK364" s="84"/>
      <c r="EO364" s="84"/>
      <c r="ES364" s="84"/>
      <c r="EW364" s="84"/>
    </row>
    <row r="365" customFormat="false" ht="12.75" hidden="false" customHeight="false" outlineLevel="0" collapsed="false">
      <c r="A365" s="37"/>
      <c r="E365" s="83"/>
      <c r="J365" s="84"/>
      <c r="N365" s="84"/>
      <c r="R365" s="84"/>
      <c r="V365" s="84"/>
      <c r="Z365" s="84"/>
      <c r="AD365" s="84"/>
      <c r="AH365" s="84"/>
      <c r="AL365" s="84"/>
      <c r="AP365" s="84"/>
      <c r="AT365" s="84"/>
      <c r="AX365" s="84"/>
      <c r="BB365" s="85"/>
      <c r="BC365" s="84"/>
      <c r="BD365" s="84"/>
      <c r="BF365" s="84"/>
      <c r="BL365" s="84"/>
      <c r="BP365" s="86"/>
      <c r="BV365" s="84"/>
      <c r="CA365" s="84"/>
      <c r="CF365" s="84"/>
      <c r="CK365" s="84"/>
      <c r="CP365" s="84"/>
      <c r="CS365" s="86"/>
      <c r="CT365" s="84"/>
      <c r="CW365" s="86"/>
      <c r="CX365" s="84"/>
      <c r="DA365" s="86"/>
      <c r="DB365" s="84"/>
      <c r="DE365" s="86"/>
      <c r="DF365" s="84"/>
      <c r="DI365" s="86"/>
      <c r="DJ365" s="84"/>
      <c r="DM365" s="86"/>
      <c r="DN365" s="84"/>
      <c r="DQ365" s="86"/>
      <c r="DR365" s="85"/>
      <c r="DS365" s="85"/>
      <c r="DT365" s="84"/>
      <c r="DV365" s="84"/>
      <c r="DW365" s="157"/>
      <c r="EB365" s="84"/>
      <c r="EG365" s="84"/>
      <c r="EK365" s="84"/>
      <c r="EO365" s="84"/>
      <c r="ES365" s="84"/>
      <c r="EW365" s="84"/>
    </row>
    <row r="366" customFormat="false" ht="12.75" hidden="false" customHeight="false" outlineLevel="0" collapsed="false">
      <c r="A366" s="37"/>
      <c r="E366" s="83"/>
      <c r="J366" s="84"/>
      <c r="N366" s="84"/>
      <c r="R366" s="84"/>
      <c r="V366" s="84"/>
      <c r="Z366" s="84"/>
      <c r="AD366" s="84"/>
      <c r="AH366" s="84"/>
      <c r="AL366" s="84"/>
      <c r="AP366" s="84"/>
      <c r="AT366" s="84"/>
      <c r="AX366" s="84"/>
      <c r="BB366" s="85"/>
      <c r="BC366" s="84"/>
      <c r="BD366" s="84"/>
      <c r="BF366" s="84"/>
      <c r="BL366" s="84"/>
      <c r="BP366" s="86"/>
      <c r="BV366" s="84"/>
      <c r="CA366" s="84"/>
      <c r="CF366" s="84"/>
      <c r="CK366" s="84"/>
      <c r="CP366" s="84"/>
      <c r="CS366" s="86"/>
      <c r="CT366" s="84"/>
      <c r="CW366" s="86"/>
      <c r="CX366" s="84"/>
      <c r="DA366" s="86"/>
      <c r="DB366" s="84"/>
      <c r="DE366" s="86"/>
      <c r="DF366" s="84"/>
      <c r="DI366" s="86"/>
      <c r="DJ366" s="84"/>
      <c r="DM366" s="86"/>
      <c r="DN366" s="84"/>
      <c r="DQ366" s="86"/>
      <c r="DR366" s="85"/>
      <c r="DS366" s="85"/>
      <c r="DT366" s="84"/>
      <c r="DV366" s="84"/>
      <c r="DW366" s="157"/>
      <c r="EB366" s="84"/>
      <c r="EG366" s="84"/>
      <c r="EK366" s="84"/>
      <c r="EO366" s="84"/>
      <c r="ES366" s="84"/>
      <c r="EW366" s="84"/>
    </row>
    <row r="367" customFormat="false" ht="12.75" hidden="false" customHeight="false" outlineLevel="0" collapsed="false">
      <c r="A367" s="37"/>
      <c r="E367" s="83"/>
      <c r="J367" s="84"/>
      <c r="N367" s="84"/>
      <c r="R367" s="84"/>
      <c r="V367" s="84"/>
      <c r="Z367" s="84"/>
      <c r="AD367" s="84"/>
      <c r="AH367" s="84"/>
      <c r="AL367" s="84"/>
      <c r="AP367" s="84"/>
      <c r="AT367" s="84"/>
      <c r="AX367" s="84"/>
      <c r="BB367" s="85"/>
      <c r="BC367" s="84"/>
      <c r="BD367" s="84"/>
      <c r="BF367" s="84"/>
      <c r="BL367" s="84"/>
      <c r="BP367" s="86"/>
      <c r="BV367" s="84"/>
      <c r="CA367" s="84"/>
      <c r="CF367" s="84"/>
      <c r="CK367" s="84"/>
      <c r="CP367" s="84"/>
      <c r="CS367" s="86"/>
      <c r="CT367" s="84"/>
      <c r="CW367" s="86"/>
      <c r="CX367" s="84"/>
      <c r="DA367" s="86"/>
      <c r="DB367" s="84"/>
      <c r="DE367" s="86"/>
      <c r="DF367" s="84"/>
      <c r="DI367" s="86"/>
      <c r="DJ367" s="84"/>
      <c r="DM367" s="86"/>
      <c r="DN367" s="84"/>
      <c r="DQ367" s="86"/>
      <c r="DR367" s="85"/>
      <c r="DS367" s="85"/>
      <c r="DT367" s="84"/>
      <c r="DV367" s="84"/>
      <c r="DW367" s="157"/>
      <c r="EB367" s="84"/>
      <c r="EG367" s="84"/>
      <c r="EK367" s="84"/>
      <c r="EO367" s="84"/>
      <c r="ES367" s="84"/>
      <c r="EW367" s="84"/>
    </row>
    <row r="368" customFormat="false" ht="12.75" hidden="false" customHeight="false" outlineLevel="0" collapsed="false">
      <c r="A368" s="37"/>
      <c r="E368" s="83"/>
      <c r="J368" s="84"/>
      <c r="N368" s="84"/>
      <c r="R368" s="84"/>
      <c r="V368" s="84"/>
      <c r="Z368" s="84"/>
      <c r="AD368" s="84"/>
      <c r="AH368" s="84"/>
      <c r="AL368" s="84"/>
      <c r="AP368" s="84"/>
      <c r="AT368" s="84"/>
      <c r="AX368" s="84"/>
      <c r="BB368" s="85"/>
      <c r="BC368" s="84"/>
      <c r="BD368" s="84"/>
      <c r="BF368" s="84"/>
      <c r="BL368" s="84"/>
      <c r="BP368" s="86"/>
      <c r="BV368" s="84"/>
      <c r="CA368" s="84"/>
      <c r="CF368" s="84"/>
      <c r="CK368" s="84"/>
      <c r="CP368" s="84"/>
      <c r="CS368" s="86"/>
      <c r="CT368" s="84"/>
      <c r="CW368" s="86"/>
      <c r="CX368" s="84"/>
      <c r="DA368" s="86"/>
      <c r="DB368" s="84"/>
      <c r="DE368" s="86"/>
      <c r="DF368" s="84"/>
      <c r="DI368" s="86"/>
      <c r="DJ368" s="84"/>
      <c r="DM368" s="86"/>
      <c r="DN368" s="84"/>
      <c r="DQ368" s="86"/>
      <c r="DR368" s="85"/>
      <c r="DS368" s="85"/>
      <c r="DT368" s="84"/>
      <c r="DV368" s="84"/>
      <c r="DW368" s="157"/>
      <c r="EB368" s="84"/>
      <c r="EG368" s="84"/>
      <c r="EK368" s="84"/>
      <c r="EO368" s="84"/>
      <c r="ES368" s="84"/>
      <c r="EW368" s="84"/>
    </row>
    <row r="369" customFormat="false" ht="12.75" hidden="false" customHeight="false" outlineLevel="0" collapsed="false">
      <c r="A369" s="37"/>
      <c r="E369" s="83"/>
      <c r="J369" s="84"/>
      <c r="N369" s="84"/>
      <c r="R369" s="84"/>
      <c r="V369" s="84"/>
      <c r="Z369" s="84"/>
      <c r="AD369" s="84"/>
      <c r="AH369" s="84"/>
      <c r="AL369" s="84"/>
      <c r="AP369" s="84"/>
      <c r="AT369" s="84"/>
      <c r="AX369" s="84"/>
      <c r="BB369" s="85"/>
      <c r="BC369" s="84"/>
      <c r="BD369" s="84"/>
      <c r="BF369" s="84"/>
      <c r="BL369" s="84"/>
      <c r="BP369" s="86"/>
      <c r="BV369" s="84"/>
      <c r="CA369" s="84"/>
      <c r="CF369" s="84"/>
      <c r="CK369" s="84"/>
      <c r="CP369" s="84"/>
      <c r="CS369" s="86"/>
      <c r="CT369" s="84"/>
      <c r="CW369" s="86"/>
      <c r="CX369" s="84"/>
      <c r="DA369" s="86"/>
      <c r="DB369" s="84"/>
      <c r="DE369" s="86"/>
      <c r="DF369" s="84"/>
      <c r="DI369" s="86"/>
      <c r="DJ369" s="84"/>
      <c r="DM369" s="86"/>
      <c r="DN369" s="84"/>
      <c r="DQ369" s="86"/>
      <c r="DR369" s="85"/>
      <c r="DS369" s="85"/>
      <c r="DT369" s="84"/>
      <c r="DV369" s="84"/>
      <c r="DW369" s="157"/>
      <c r="EB369" s="84"/>
      <c r="EG369" s="84"/>
      <c r="EK369" s="84"/>
      <c r="EO369" s="84"/>
      <c r="ES369" s="84"/>
      <c r="EW369" s="84"/>
    </row>
    <row r="370" customFormat="false" ht="12.75" hidden="false" customHeight="false" outlineLevel="0" collapsed="false">
      <c r="A370" s="37"/>
      <c r="E370" s="83"/>
      <c r="J370" s="84"/>
      <c r="N370" s="84"/>
      <c r="R370" s="84"/>
      <c r="V370" s="84"/>
      <c r="Z370" s="84"/>
      <c r="AD370" s="84"/>
      <c r="AH370" s="84"/>
      <c r="AL370" s="84"/>
      <c r="AP370" s="84"/>
      <c r="AT370" s="84"/>
      <c r="AX370" s="84"/>
      <c r="BB370" s="85"/>
      <c r="BC370" s="84"/>
      <c r="BD370" s="84"/>
      <c r="BF370" s="84"/>
      <c r="BL370" s="84"/>
      <c r="BP370" s="86"/>
      <c r="BV370" s="84"/>
      <c r="CA370" s="84"/>
      <c r="CF370" s="84"/>
      <c r="CK370" s="84"/>
      <c r="CP370" s="84"/>
      <c r="CS370" s="86"/>
      <c r="CT370" s="84"/>
      <c r="CW370" s="86"/>
      <c r="CX370" s="84"/>
      <c r="DA370" s="86"/>
      <c r="DB370" s="84"/>
      <c r="DE370" s="86"/>
      <c r="DF370" s="84"/>
      <c r="DI370" s="86"/>
      <c r="DJ370" s="84"/>
      <c r="DM370" s="86"/>
      <c r="DN370" s="84"/>
      <c r="DQ370" s="86"/>
      <c r="DR370" s="85"/>
      <c r="DS370" s="85"/>
      <c r="DT370" s="84"/>
      <c r="DV370" s="84"/>
      <c r="DW370" s="157"/>
      <c r="EB370" s="84"/>
      <c r="EG370" s="84"/>
      <c r="EK370" s="84"/>
      <c r="EO370" s="84"/>
      <c r="ES370" s="84"/>
      <c r="EW370" s="84"/>
    </row>
    <row r="371" customFormat="false" ht="12.75" hidden="false" customHeight="false" outlineLevel="0" collapsed="false">
      <c r="A371" s="37"/>
      <c r="E371" s="83"/>
      <c r="J371" s="84"/>
      <c r="N371" s="84"/>
      <c r="R371" s="84"/>
      <c r="V371" s="84"/>
      <c r="Z371" s="84"/>
      <c r="AD371" s="84"/>
      <c r="AH371" s="84"/>
      <c r="AL371" s="84"/>
      <c r="AP371" s="84"/>
      <c r="AT371" s="84"/>
      <c r="AX371" s="84"/>
      <c r="BB371" s="85"/>
      <c r="BC371" s="84"/>
      <c r="BD371" s="84"/>
      <c r="BF371" s="84"/>
      <c r="BL371" s="84"/>
      <c r="BP371" s="86"/>
      <c r="BV371" s="84"/>
      <c r="CA371" s="84"/>
      <c r="CF371" s="84"/>
      <c r="CK371" s="84"/>
      <c r="CP371" s="84"/>
      <c r="CS371" s="86"/>
      <c r="CT371" s="84"/>
      <c r="CW371" s="86"/>
      <c r="CX371" s="84"/>
      <c r="DA371" s="86"/>
      <c r="DB371" s="84"/>
      <c r="DE371" s="86"/>
      <c r="DF371" s="84"/>
      <c r="DI371" s="86"/>
      <c r="DJ371" s="84"/>
      <c r="DM371" s="86"/>
      <c r="DN371" s="84"/>
      <c r="DQ371" s="86"/>
      <c r="DR371" s="85"/>
      <c r="DS371" s="85"/>
      <c r="DT371" s="84"/>
      <c r="DV371" s="84"/>
      <c r="DW371" s="157"/>
      <c r="EB371" s="84"/>
      <c r="EG371" s="84"/>
      <c r="EK371" s="84"/>
      <c r="EO371" s="84"/>
      <c r="ES371" s="84"/>
      <c r="EW371" s="84"/>
    </row>
    <row r="372" customFormat="false" ht="12.75" hidden="false" customHeight="false" outlineLevel="0" collapsed="false">
      <c r="A372" s="37"/>
      <c r="E372" s="83"/>
      <c r="J372" s="84"/>
      <c r="N372" s="84"/>
      <c r="R372" s="84"/>
      <c r="V372" s="84"/>
      <c r="Z372" s="84"/>
      <c r="AD372" s="84"/>
      <c r="AH372" s="84"/>
      <c r="AL372" s="84"/>
      <c r="AP372" s="84"/>
      <c r="AT372" s="84"/>
      <c r="AX372" s="84"/>
      <c r="BB372" s="85"/>
      <c r="BC372" s="84"/>
      <c r="BD372" s="84"/>
      <c r="BF372" s="84"/>
      <c r="BL372" s="84"/>
      <c r="BP372" s="86"/>
      <c r="BV372" s="84"/>
      <c r="CA372" s="84"/>
      <c r="CF372" s="84"/>
      <c r="CK372" s="84"/>
      <c r="CP372" s="84"/>
      <c r="CS372" s="86"/>
      <c r="CT372" s="84"/>
      <c r="CW372" s="86"/>
      <c r="CX372" s="84"/>
      <c r="DA372" s="86"/>
      <c r="DB372" s="84"/>
      <c r="DE372" s="86"/>
      <c r="DF372" s="84"/>
      <c r="DI372" s="86"/>
      <c r="DJ372" s="84"/>
      <c r="DM372" s="86"/>
      <c r="DN372" s="84"/>
      <c r="DQ372" s="86"/>
      <c r="DR372" s="85"/>
      <c r="DS372" s="85"/>
      <c r="DT372" s="84"/>
      <c r="DV372" s="84"/>
      <c r="DW372" s="157"/>
      <c r="EB372" s="84"/>
      <c r="EG372" s="84"/>
      <c r="EK372" s="84"/>
      <c r="EO372" s="84"/>
      <c r="ES372" s="84"/>
      <c r="EW372" s="84"/>
    </row>
    <row r="373" customFormat="false" ht="12.75" hidden="false" customHeight="false" outlineLevel="0" collapsed="false">
      <c r="A373" s="37"/>
      <c r="E373" s="83"/>
      <c r="J373" s="84"/>
      <c r="N373" s="84"/>
      <c r="R373" s="84"/>
      <c r="V373" s="84"/>
      <c r="Z373" s="84"/>
      <c r="AD373" s="84"/>
      <c r="AH373" s="84"/>
      <c r="AL373" s="84"/>
      <c r="AP373" s="84"/>
      <c r="AT373" s="84"/>
      <c r="AX373" s="84"/>
      <c r="BB373" s="85"/>
      <c r="BC373" s="84"/>
      <c r="BD373" s="84"/>
      <c r="BF373" s="84"/>
      <c r="BL373" s="84"/>
      <c r="BP373" s="86"/>
      <c r="BV373" s="84"/>
      <c r="CA373" s="84"/>
      <c r="CF373" s="84"/>
      <c r="CK373" s="84"/>
      <c r="CP373" s="84"/>
      <c r="CS373" s="86"/>
      <c r="CT373" s="84"/>
      <c r="CW373" s="86"/>
      <c r="CX373" s="84"/>
      <c r="DA373" s="86"/>
      <c r="DB373" s="84"/>
      <c r="DE373" s="86"/>
      <c r="DF373" s="84"/>
      <c r="DI373" s="86"/>
      <c r="DJ373" s="84"/>
      <c r="DM373" s="86"/>
      <c r="DN373" s="84"/>
      <c r="DQ373" s="86"/>
      <c r="DR373" s="85"/>
      <c r="DS373" s="85"/>
      <c r="DT373" s="84"/>
      <c r="DV373" s="84"/>
      <c r="DW373" s="157"/>
      <c r="EB373" s="84"/>
      <c r="EG373" s="84"/>
      <c r="EK373" s="84"/>
      <c r="EO373" s="84"/>
      <c r="ES373" s="84"/>
      <c r="EW373" s="84"/>
    </row>
    <row r="374" customFormat="false" ht="12.75" hidden="false" customHeight="false" outlineLevel="0" collapsed="false">
      <c r="A374" s="37"/>
      <c r="E374" s="83"/>
      <c r="J374" s="84"/>
      <c r="N374" s="84"/>
      <c r="R374" s="84"/>
      <c r="V374" s="84"/>
      <c r="Z374" s="84"/>
      <c r="AD374" s="84"/>
      <c r="AH374" s="84"/>
      <c r="AL374" s="84"/>
      <c r="AP374" s="84"/>
      <c r="AT374" s="84"/>
      <c r="AX374" s="84"/>
      <c r="BB374" s="85"/>
      <c r="BC374" s="84"/>
      <c r="BD374" s="84"/>
      <c r="BF374" s="84"/>
      <c r="BL374" s="84"/>
      <c r="BP374" s="86"/>
      <c r="BV374" s="84"/>
      <c r="CA374" s="84"/>
      <c r="CF374" s="84"/>
      <c r="CK374" s="84"/>
      <c r="CP374" s="84"/>
      <c r="CS374" s="86"/>
      <c r="CT374" s="84"/>
      <c r="CW374" s="86"/>
      <c r="CX374" s="84"/>
      <c r="DA374" s="86"/>
      <c r="DB374" s="84"/>
      <c r="DE374" s="86"/>
      <c r="DF374" s="84"/>
      <c r="DI374" s="86"/>
      <c r="DJ374" s="84"/>
      <c r="DM374" s="86"/>
      <c r="DN374" s="84"/>
      <c r="DQ374" s="86"/>
      <c r="DR374" s="85"/>
      <c r="DS374" s="85"/>
      <c r="DT374" s="84"/>
      <c r="DV374" s="84"/>
      <c r="DW374" s="157"/>
      <c r="EB374" s="84"/>
      <c r="EG374" s="84"/>
      <c r="EK374" s="84"/>
      <c r="EO374" s="84"/>
      <c r="ES374" s="84"/>
      <c r="EW374" s="84"/>
    </row>
    <row r="375" customFormat="false" ht="12.75" hidden="false" customHeight="false" outlineLevel="0" collapsed="false">
      <c r="A375" s="37"/>
      <c r="E375" s="83"/>
      <c r="J375" s="84"/>
      <c r="N375" s="84"/>
      <c r="R375" s="84"/>
      <c r="V375" s="84"/>
      <c r="Z375" s="84"/>
      <c r="AD375" s="84"/>
      <c r="AH375" s="84"/>
      <c r="AL375" s="84"/>
      <c r="AP375" s="84"/>
      <c r="AT375" s="84"/>
      <c r="AX375" s="84"/>
      <c r="BB375" s="85"/>
      <c r="BC375" s="84"/>
      <c r="BD375" s="84"/>
      <c r="BF375" s="84"/>
      <c r="BL375" s="84"/>
      <c r="BP375" s="86"/>
      <c r="BV375" s="84"/>
      <c r="CA375" s="84"/>
      <c r="CF375" s="84"/>
      <c r="CK375" s="84"/>
      <c r="CP375" s="84"/>
      <c r="CS375" s="86"/>
      <c r="CT375" s="84"/>
      <c r="CW375" s="86"/>
      <c r="CX375" s="84"/>
      <c r="DA375" s="86"/>
      <c r="DB375" s="84"/>
      <c r="DE375" s="86"/>
      <c r="DF375" s="84"/>
      <c r="DI375" s="86"/>
      <c r="DJ375" s="84"/>
      <c r="DM375" s="86"/>
      <c r="DN375" s="84"/>
      <c r="DQ375" s="86"/>
      <c r="DR375" s="85"/>
      <c r="DS375" s="85"/>
      <c r="DT375" s="84"/>
      <c r="DV375" s="84"/>
      <c r="DW375" s="157"/>
      <c r="EB375" s="84"/>
      <c r="EG375" s="84"/>
      <c r="EK375" s="84"/>
      <c r="EO375" s="84"/>
      <c r="ES375" s="84"/>
      <c r="EW375" s="84"/>
    </row>
    <row r="376" customFormat="false" ht="12.75" hidden="false" customHeight="false" outlineLevel="0" collapsed="false">
      <c r="A376" s="37"/>
      <c r="E376" s="83"/>
      <c r="J376" s="84"/>
      <c r="N376" s="84"/>
      <c r="R376" s="84"/>
      <c r="V376" s="84"/>
      <c r="Z376" s="84"/>
      <c r="AD376" s="84"/>
      <c r="AH376" s="84"/>
      <c r="AL376" s="84"/>
      <c r="AP376" s="84"/>
      <c r="AT376" s="84"/>
      <c r="AX376" s="84"/>
      <c r="BB376" s="85"/>
      <c r="BC376" s="84"/>
      <c r="BD376" s="84"/>
      <c r="BF376" s="84"/>
      <c r="BL376" s="84"/>
      <c r="BP376" s="86"/>
      <c r="BV376" s="84"/>
      <c r="CA376" s="84"/>
      <c r="CF376" s="84"/>
      <c r="CK376" s="84"/>
      <c r="CP376" s="84"/>
      <c r="CS376" s="86"/>
      <c r="CT376" s="84"/>
      <c r="CW376" s="86"/>
      <c r="CX376" s="84"/>
      <c r="DA376" s="86"/>
      <c r="DB376" s="84"/>
      <c r="DE376" s="86"/>
      <c r="DF376" s="84"/>
      <c r="DI376" s="86"/>
      <c r="DJ376" s="84"/>
      <c r="DM376" s="86"/>
      <c r="DN376" s="84"/>
      <c r="DQ376" s="86"/>
      <c r="DR376" s="85"/>
      <c r="DS376" s="85"/>
      <c r="DT376" s="84"/>
      <c r="DV376" s="84"/>
      <c r="DW376" s="157"/>
      <c r="EB376" s="84"/>
      <c r="EG376" s="84"/>
      <c r="EK376" s="84"/>
      <c r="EO376" s="84"/>
      <c r="ES376" s="84"/>
      <c r="EW376" s="84"/>
    </row>
    <row r="377" customFormat="false" ht="12.75" hidden="false" customHeight="false" outlineLevel="0" collapsed="false">
      <c r="A377" s="37"/>
      <c r="E377" s="83"/>
      <c r="J377" s="84"/>
      <c r="N377" s="84"/>
      <c r="R377" s="84"/>
      <c r="V377" s="84"/>
      <c r="Z377" s="84"/>
      <c r="AD377" s="84"/>
      <c r="AH377" s="84"/>
      <c r="AL377" s="84"/>
      <c r="AP377" s="84"/>
      <c r="AT377" s="84"/>
      <c r="AX377" s="84"/>
      <c r="BB377" s="85"/>
      <c r="BC377" s="84"/>
      <c r="BD377" s="84"/>
      <c r="BF377" s="84"/>
      <c r="BL377" s="84"/>
      <c r="BP377" s="86"/>
      <c r="BV377" s="84"/>
      <c r="CA377" s="84"/>
      <c r="CF377" s="84"/>
      <c r="CK377" s="84"/>
      <c r="CP377" s="84"/>
      <c r="CS377" s="86"/>
      <c r="CT377" s="84"/>
      <c r="CW377" s="86"/>
      <c r="CX377" s="84"/>
      <c r="DA377" s="86"/>
      <c r="DB377" s="84"/>
      <c r="DE377" s="86"/>
      <c r="DF377" s="84"/>
      <c r="DI377" s="86"/>
      <c r="DJ377" s="84"/>
      <c r="DM377" s="86"/>
      <c r="DN377" s="84"/>
      <c r="DQ377" s="86"/>
      <c r="DR377" s="85"/>
      <c r="DS377" s="85"/>
      <c r="DT377" s="84"/>
      <c r="DV377" s="84"/>
      <c r="DW377" s="157"/>
      <c r="EB377" s="84"/>
      <c r="EG377" s="84"/>
      <c r="EK377" s="84"/>
      <c r="EO377" s="84"/>
      <c r="ES377" s="84"/>
      <c r="EW377" s="84"/>
    </row>
    <row r="378" customFormat="false" ht="12.75" hidden="false" customHeight="false" outlineLevel="0" collapsed="false">
      <c r="A378" s="37"/>
      <c r="E378" s="83"/>
      <c r="J378" s="84"/>
      <c r="N378" s="84"/>
      <c r="R378" s="84"/>
      <c r="V378" s="84"/>
      <c r="Z378" s="84"/>
      <c r="AD378" s="84"/>
      <c r="AH378" s="84"/>
      <c r="AL378" s="84"/>
      <c r="AP378" s="84"/>
      <c r="AT378" s="84"/>
      <c r="AX378" s="84"/>
      <c r="BB378" s="85"/>
      <c r="BC378" s="84"/>
      <c r="BD378" s="84"/>
      <c r="BF378" s="84"/>
      <c r="BL378" s="84"/>
      <c r="BP378" s="86"/>
      <c r="BV378" s="84"/>
      <c r="CA378" s="84"/>
      <c r="CF378" s="84"/>
      <c r="CK378" s="84"/>
      <c r="CP378" s="84"/>
      <c r="CS378" s="86"/>
      <c r="CT378" s="84"/>
      <c r="CW378" s="86"/>
      <c r="CX378" s="84"/>
      <c r="DA378" s="86"/>
      <c r="DB378" s="84"/>
      <c r="DE378" s="86"/>
      <c r="DF378" s="84"/>
      <c r="DI378" s="86"/>
      <c r="DJ378" s="84"/>
      <c r="DM378" s="86"/>
      <c r="DN378" s="84"/>
      <c r="DQ378" s="86"/>
      <c r="DR378" s="85"/>
      <c r="DS378" s="85"/>
      <c r="DT378" s="84"/>
      <c r="DV378" s="84"/>
      <c r="DW378" s="157"/>
      <c r="EB378" s="84"/>
      <c r="EG378" s="84"/>
      <c r="EK378" s="84"/>
      <c r="EO378" s="84"/>
      <c r="ES378" s="84"/>
      <c r="EW378" s="84"/>
    </row>
    <row r="379" customFormat="false" ht="12.75" hidden="false" customHeight="false" outlineLevel="0" collapsed="false">
      <c r="A379" s="37"/>
      <c r="E379" s="83"/>
      <c r="J379" s="84"/>
      <c r="N379" s="84"/>
      <c r="R379" s="84"/>
      <c r="V379" s="84"/>
      <c r="Z379" s="84"/>
      <c r="AD379" s="84"/>
      <c r="AH379" s="84"/>
      <c r="AL379" s="84"/>
      <c r="AP379" s="84"/>
      <c r="AT379" s="84"/>
      <c r="AX379" s="84"/>
      <c r="BB379" s="85"/>
      <c r="BC379" s="84"/>
      <c r="BD379" s="84"/>
      <c r="BF379" s="84"/>
      <c r="BL379" s="84"/>
      <c r="BP379" s="86"/>
      <c r="BV379" s="84"/>
      <c r="CA379" s="84"/>
      <c r="CF379" s="84"/>
      <c r="CK379" s="84"/>
      <c r="CP379" s="84"/>
      <c r="CS379" s="86"/>
      <c r="CT379" s="84"/>
      <c r="CW379" s="86"/>
      <c r="CX379" s="84"/>
      <c r="DA379" s="86"/>
      <c r="DB379" s="84"/>
      <c r="DE379" s="86"/>
      <c r="DF379" s="84"/>
      <c r="DI379" s="86"/>
      <c r="DJ379" s="84"/>
      <c r="DM379" s="86"/>
      <c r="DN379" s="84"/>
      <c r="DQ379" s="86"/>
      <c r="DR379" s="85"/>
      <c r="DS379" s="85"/>
      <c r="DT379" s="84"/>
      <c r="DV379" s="84"/>
      <c r="DW379" s="157"/>
      <c r="EB379" s="84"/>
      <c r="EG379" s="84"/>
      <c r="EK379" s="84"/>
      <c r="EO379" s="84"/>
      <c r="ES379" s="84"/>
      <c r="EW379" s="84"/>
    </row>
    <row r="380" customFormat="false" ht="12.75" hidden="false" customHeight="false" outlineLevel="0" collapsed="false">
      <c r="A380" s="37"/>
      <c r="E380" s="83"/>
      <c r="J380" s="84"/>
      <c r="N380" s="84"/>
      <c r="R380" s="84"/>
      <c r="V380" s="84"/>
      <c r="Z380" s="84"/>
      <c r="AD380" s="84"/>
      <c r="AH380" s="84"/>
      <c r="AL380" s="84"/>
      <c r="AP380" s="84"/>
      <c r="AT380" s="84"/>
      <c r="AX380" s="84"/>
      <c r="BB380" s="85"/>
      <c r="BC380" s="84"/>
      <c r="BD380" s="84"/>
      <c r="BF380" s="84"/>
      <c r="BL380" s="84"/>
      <c r="BP380" s="86"/>
      <c r="BV380" s="84"/>
      <c r="CA380" s="84"/>
      <c r="CF380" s="84"/>
      <c r="CK380" s="84"/>
      <c r="CP380" s="84"/>
      <c r="CS380" s="86"/>
      <c r="CT380" s="84"/>
      <c r="CW380" s="86"/>
      <c r="CX380" s="84"/>
      <c r="DA380" s="86"/>
      <c r="DB380" s="84"/>
      <c r="DE380" s="86"/>
      <c r="DF380" s="84"/>
      <c r="DI380" s="86"/>
      <c r="DJ380" s="84"/>
      <c r="DM380" s="86"/>
      <c r="DN380" s="84"/>
      <c r="DQ380" s="86"/>
      <c r="DR380" s="85"/>
      <c r="DS380" s="85"/>
      <c r="DT380" s="84"/>
      <c r="DV380" s="84"/>
      <c r="DW380" s="157"/>
      <c r="EB380" s="84"/>
      <c r="EG380" s="84"/>
      <c r="EK380" s="84"/>
      <c r="EO380" s="84"/>
      <c r="ES380" s="84"/>
      <c r="EW380" s="84"/>
    </row>
    <row r="381" customFormat="false" ht="12.75" hidden="false" customHeight="false" outlineLevel="0" collapsed="false">
      <c r="A381" s="37"/>
      <c r="E381" s="83"/>
      <c r="J381" s="84"/>
      <c r="N381" s="84"/>
      <c r="R381" s="84"/>
      <c r="V381" s="84"/>
      <c r="Z381" s="84"/>
      <c r="AD381" s="84"/>
      <c r="AH381" s="84"/>
      <c r="AL381" s="84"/>
      <c r="AP381" s="84"/>
      <c r="AT381" s="84"/>
      <c r="AX381" s="84"/>
      <c r="BB381" s="85"/>
      <c r="BC381" s="84"/>
      <c r="BD381" s="84"/>
      <c r="BF381" s="84"/>
      <c r="BL381" s="84"/>
      <c r="BP381" s="86"/>
      <c r="BV381" s="84"/>
      <c r="CA381" s="84"/>
      <c r="CF381" s="84"/>
      <c r="CK381" s="84"/>
      <c r="CP381" s="84"/>
      <c r="CS381" s="86"/>
      <c r="CT381" s="84"/>
      <c r="CW381" s="86"/>
      <c r="CX381" s="84"/>
      <c r="DA381" s="86"/>
      <c r="DB381" s="84"/>
      <c r="DE381" s="86"/>
      <c r="DF381" s="84"/>
      <c r="DI381" s="86"/>
      <c r="DJ381" s="84"/>
      <c r="DM381" s="86"/>
      <c r="DN381" s="84"/>
      <c r="DQ381" s="86"/>
      <c r="DR381" s="85"/>
      <c r="DS381" s="85"/>
      <c r="DT381" s="84"/>
      <c r="DV381" s="84"/>
      <c r="DW381" s="157"/>
      <c r="EB381" s="84"/>
      <c r="EG381" s="84"/>
      <c r="EK381" s="84"/>
      <c r="EO381" s="84"/>
      <c r="ES381" s="84"/>
      <c r="EW381" s="84"/>
    </row>
    <row r="382" customFormat="false" ht="12.75" hidden="false" customHeight="false" outlineLevel="0" collapsed="false">
      <c r="A382" s="37"/>
      <c r="E382" s="83"/>
      <c r="J382" s="84"/>
      <c r="N382" s="84"/>
      <c r="R382" s="84"/>
      <c r="V382" s="84"/>
      <c r="Z382" s="84"/>
      <c r="AD382" s="84"/>
      <c r="AH382" s="84"/>
      <c r="AL382" s="84"/>
      <c r="AP382" s="84"/>
      <c r="AT382" s="84"/>
      <c r="AX382" s="84"/>
      <c r="BB382" s="85"/>
      <c r="BC382" s="84"/>
      <c r="BD382" s="84"/>
      <c r="BF382" s="84"/>
      <c r="BL382" s="84"/>
      <c r="BP382" s="86"/>
      <c r="BV382" s="84"/>
      <c r="CA382" s="84"/>
      <c r="CF382" s="84"/>
      <c r="CK382" s="84"/>
      <c r="CP382" s="84"/>
      <c r="CS382" s="86"/>
      <c r="CT382" s="84"/>
      <c r="CW382" s="86"/>
      <c r="CX382" s="84"/>
      <c r="DA382" s="86"/>
      <c r="DB382" s="84"/>
      <c r="DE382" s="86"/>
      <c r="DF382" s="84"/>
      <c r="DI382" s="86"/>
      <c r="DJ382" s="84"/>
      <c r="DM382" s="86"/>
      <c r="DN382" s="84"/>
      <c r="DQ382" s="86"/>
      <c r="DR382" s="85"/>
      <c r="DS382" s="85"/>
      <c r="DT382" s="84"/>
      <c r="DV382" s="84"/>
      <c r="DW382" s="157"/>
      <c r="EB382" s="84"/>
      <c r="EG382" s="84"/>
      <c r="EK382" s="84"/>
      <c r="EO382" s="84"/>
      <c r="ES382" s="84"/>
      <c r="EW382" s="84"/>
    </row>
    <row r="383" customFormat="false" ht="12.75" hidden="false" customHeight="false" outlineLevel="0" collapsed="false">
      <c r="A383" s="37"/>
      <c r="E383" s="83"/>
      <c r="J383" s="84"/>
      <c r="N383" s="84"/>
      <c r="R383" s="84"/>
      <c r="V383" s="84"/>
      <c r="Z383" s="84"/>
      <c r="AD383" s="84"/>
      <c r="AH383" s="84"/>
      <c r="AL383" s="84"/>
      <c r="AP383" s="84"/>
      <c r="AT383" s="84"/>
      <c r="AX383" s="84"/>
      <c r="BB383" s="85"/>
      <c r="BC383" s="84"/>
      <c r="BD383" s="84"/>
      <c r="BF383" s="84"/>
      <c r="BL383" s="84"/>
      <c r="BP383" s="86"/>
      <c r="BV383" s="84"/>
      <c r="CA383" s="84"/>
      <c r="CF383" s="84"/>
      <c r="CK383" s="84"/>
      <c r="CP383" s="84"/>
      <c r="CS383" s="86"/>
      <c r="CT383" s="84"/>
      <c r="CW383" s="86"/>
      <c r="CX383" s="84"/>
      <c r="DA383" s="86"/>
      <c r="DB383" s="84"/>
      <c r="DE383" s="86"/>
      <c r="DF383" s="84"/>
      <c r="DI383" s="86"/>
      <c r="DJ383" s="84"/>
      <c r="DM383" s="86"/>
      <c r="DN383" s="84"/>
      <c r="DQ383" s="86"/>
      <c r="DR383" s="85"/>
      <c r="DS383" s="85"/>
      <c r="DT383" s="84"/>
      <c r="DV383" s="84"/>
      <c r="DW383" s="157"/>
      <c r="EB383" s="84"/>
      <c r="EG383" s="84"/>
      <c r="EK383" s="84"/>
      <c r="EO383" s="84"/>
      <c r="ES383" s="84"/>
      <c r="EW383" s="84"/>
    </row>
    <row r="384" customFormat="false" ht="12.75" hidden="false" customHeight="false" outlineLevel="0" collapsed="false">
      <c r="A384" s="37"/>
      <c r="E384" s="83"/>
      <c r="J384" s="84"/>
      <c r="N384" s="84"/>
      <c r="R384" s="84"/>
      <c r="V384" s="84"/>
      <c r="Z384" s="84"/>
      <c r="AD384" s="84"/>
      <c r="AH384" s="84"/>
      <c r="AL384" s="84"/>
      <c r="AP384" s="84"/>
      <c r="AT384" s="84"/>
      <c r="AX384" s="84"/>
      <c r="BB384" s="85"/>
      <c r="BC384" s="84"/>
      <c r="BD384" s="84"/>
      <c r="BF384" s="84"/>
      <c r="BL384" s="84"/>
      <c r="BP384" s="86"/>
      <c r="BV384" s="84"/>
      <c r="CA384" s="84"/>
      <c r="CF384" s="84"/>
      <c r="CK384" s="84"/>
      <c r="CP384" s="84"/>
      <c r="CS384" s="86"/>
      <c r="CT384" s="84"/>
      <c r="CW384" s="86"/>
      <c r="CX384" s="84"/>
      <c r="DA384" s="86"/>
      <c r="DB384" s="84"/>
      <c r="DE384" s="86"/>
      <c r="DF384" s="84"/>
      <c r="DI384" s="86"/>
      <c r="DJ384" s="84"/>
      <c r="DM384" s="86"/>
      <c r="DN384" s="84"/>
      <c r="DQ384" s="86"/>
      <c r="DR384" s="85"/>
      <c r="DS384" s="85"/>
      <c r="DT384" s="84"/>
      <c r="DV384" s="84"/>
      <c r="DW384" s="157"/>
      <c r="EB384" s="84"/>
      <c r="EG384" s="84"/>
      <c r="EK384" s="84"/>
      <c r="EO384" s="84"/>
      <c r="ES384" s="84"/>
      <c r="EW384" s="84"/>
    </row>
    <row r="385" customFormat="false" ht="12.75" hidden="false" customHeight="false" outlineLevel="0" collapsed="false">
      <c r="A385" s="37"/>
      <c r="E385" s="83"/>
      <c r="J385" s="84"/>
      <c r="N385" s="84"/>
      <c r="R385" s="84"/>
      <c r="V385" s="84"/>
      <c r="Z385" s="84"/>
      <c r="AD385" s="84"/>
      <c r="AH385" s="84"/>
      <c r="AL385" s="84"/>
      <c r="AP385" s="84"/>
      <c r="AT385" s="84"/>
      <c r="AX385" s="84"/>
      <c r="BB385" s="85"/>
      <c r="BC385" s="84"/>
      <c r="BD385" s="84"/>
      <c r="BF385" s="84"/>
      <c r="BL385" s="84"/>
      <c r="BP385" s="86"/>
      <c r="BV385" s="84"/>
      <c r="CA385" s="84"/>
      <c r="CF385" s="84"/>
      <c r="CK385" s="84"/>
      <c r="CP385" s="84"/>
      <c r="CS385" s="86"/>
      <c r="CT385" s="84"/>
      <c r="CW385" s="86"/>
      <c r="CX385" s="84"/>
      <c r="DA385" s="86"/>
      <c r="DB385" s="84"/>
      <c r="DE385" s="86"/>
      <c r="DF385" s="84"/>
      <c r="DI385" s="86"/>
      <c r="DJ385" s="84"/>
      <c r="DM385" s="86"/>
      <c r="DN385" s="84"/>
      <c r="DQ385" s="86"/>
      <c r="DR385" s="85"/>
      <c r="DS385" s="85"/>
      <c r="DT385" s="84"/>
      <c r="DV385" s="84"/>
      <c r="DW385" s="157"/>
      <c r="EB385" s="84"/>
      <c r="EG385" s="84"/>
      <c r="EK385" s="84"/>
      <c r="EO385" s="84"/>
      <c r="ES385" s="84"/>
      <c r="EW385" s="84"/>
    </row>
    <row r="386" customFormat="false" ht="12.75" hidden="false" customHeight="false" outlineLevel="0" collapsed="false">
      <c r="A386" s="37"/>
      <c r="E386" s="83"/>
      <c r="J386" s="84"/>
      <c r="N386" s="84"/>
      <c r="R386" s="84"/>
      <c r="V386" s="84"/>
      <c r="Z386" s="84"/>
      <c r="AD386" s="84"/>
      <c r="AH386" s="84"/>
      <c r="AL386" s="84"/>
      <c r="AP386" s="84"/>
      <c r="AT386" s="84"/>
      <c r="AX386" s="84"/>
      <c r="BB386" s="85"/>
      <c r="BC386" s="84"/>
      <c r="BD386" s="84"/>
      <c r="BF386" s="84"/>
      <c r="BL386" s="84"/>
      <c r="BP386" s="86"/>
      <c r="BV386" s="84"/>
      <c r="CA386" s="84"/>
      <c r="CF386" s="84"/>
      <c r="CK386" s="84"/>
      <c r="CP386" s="84"/>
      <c r="CS386" s="86"/>
      <c r="CT386" s="84"/>
      <c r="CW386" s="86"/>
      <c r="CX386" s="84"/>
      <c r="DA386" s="86"/>
      <c r="DB386" s="84"/>
      <c r="DE386" s="86"/>
      <c r="DF386" s="84"/>
      <c r="DI386" s="86"/>
      <c r="DJ386" s="84"/>
      <c r="DM386" s="86"/>
      <c r="DN386" s="84"/>
      <c r="DQ386" s="86"/>
      <c r="DR386" s="85"/>
      <c r="DS386" s="85"/>
      <c r="DT386" s="84"/>
      <c r="DV386" s="84"/>
      <c r="DW386" s="157"/>
      <c r="EB386" s="84"/>
      <c r="EG386" s="84"/>
      <c r="EK386" s="84"/>
      <c r="EO386" s="84"/>
      <c r="ES386" s="84"/>
      <c r="EW386" s="84"/>
    </row>
    <row r="387" customFormat="false" ht="12.75" hidden="false" customHeight="false" outlineLevel="0" collapsed="false">
      <c r="A387" s="37"/>
      <c r="E387" s="83"/>
      <c r="J387" s="84"/>
      <c r="N387" s="84"/>
      <c r="R387" s="84"/>
      <c r="V387" s="84"/>
      <c r="Z387" s="84"/>
      <c r="AD387" s="84"/>
      <c r="AH387" s="84"/>
      <c r="AL387" s="84"/>
      <c r="AP387" s="84"/>
      <c r="AT387" s="84"/>
      <c r="AX387" s="84"/>
      <c r="BB387" s="85"/>
      <c r="BC387" s="84"/>
      <c r="BD387" s="84"/>
      <c r="BF387" s="84"/>
      <c r="BL387" s="84"/>
      <c r="BP387" s="86"/>
      <c r="BV387" s="84"/>
      <c r="CA387" s="84"/>
      <c r="CF387" s="84"/>
      <c r="CK387" s="84"/>
      <c r="CP387" s="84"/>
      <c r="CS387" s="86"/>
      <c r="CT387" s="84"/>
      <c r="CW387" s="86"/>
      <c r="CX387" s="84"/>
      <c r="DA387" s="86"/>
      <c r="DB387" s="84"/>
      <c r="DE387" s="86"/>
      <c r="DF387" s="84"/>
      <c r="DI387" s="86"/>
      <c r="DJ387" s="84"/>
      <c r="DM387" s="86"/>
      <c r="DN387" s="84"/>
      <c r="DQ387" s="86"/>
      <c r="DR387" s="85"/>
      <c r="DS387" s="85"/>
      <c r="DT387" s="84"/>
      <c r="DV387" s="84"/>
      <c r="DW387" s="157"/>
      <c r="EB387" s="84"/>
      <c r="EG387" s="84"/>
      <c r="EK387" s="84"/>
      <c r="EO387" s="84"/>
      <c r="ES387" s="84"/>
      <c r="EW387" s="84"/>
    </row>
    <row r="388" customFormat="false" ht="12.75" hidden="false" customHeight="false" outlineLevel="0" collapsed="false">
      <c r="A388" s="37"/>
      <c r="E388" s="83"/>
      <c r="J388" s="84"/>
      <c r="N388" s="84"/>
      <c r="R388" s="84"/>
      <c r="V388" s="84"/>
      <c r="Z388" s="84"/>
      <c r="AD388" s="84"/>
      <c r="AH388" s="84"/>
      <c r="AL388" s="84"/>
      <c r="AP388" s="84"/>
      <c r="AT388" s="84"/>
      <c r="AX388" s="84"/>
      <c r="BB388" s="85"/>
      <c r="BC388" s="84"/>
      <c r="BD388" s="84"/>
      <c r="BF388" s="84"/>
      <c r="BL388" s="84"/>
      <c r="BP388" s="86"/>
      <c r="BV388" s="84"/>
      <c r="CA388" s="84"/>
      <c r="CF388" s="84"/>
      <c r="CK388" s="84"/>
      <c r="CP388" s="84"/>
      <c r="CS388" s="86"/>
      <c r="CT388" s="84"/>
      <c r="CW388" s="86"/>
      <c r="CX388" s="84"/>
      <c r="DA388" s="86"/>
      <c r="DB388" s="84"/>
      <c r="DE388" s="86"/>
      <c r="DF388" s="84"/>
      <c r="DI388" s="86"/>
      <c r="DJ388" s="84"/>
      <c r="DM388" s="86"/>
      <c r="DN388" s="84"/>
      <c r="DQ388" s="86"/>
      <c r="DR388" s="85"/>
      <c r="DS388" s="85"/>
      <c r="DT388" s="84"/>
      <c r="DV388" s="84"/>
      <c r="DW388" s="157"/>
      <c r="EB388" s="84"/>
      <c r="EG388" s="84"/>
      <c r="EK388" s="84"/>
      <c r="EO388" s="84"/>
      <c r="ES388" s="84"/>
      <c r="EW388" s="84"/>
    </row>
    <row r="389" customFormat="false" ht="12.75" hidden="false" customHeight="false" outlineLevel="0" collapsed="false">
      <c r="A389" s="37"/>
      <c r="E389" s="83"/>
      <c r="J389" s="84"/>
      <c r="N389" s="84"/>
      <c r="R389" s="84"/>
      <c r="V389" s="84"/>
      <c r="Z389" s="84"/>
      <c r="AD389" s="84"/>
      <c r="AH389" s="84"/>
      <c r="AL389" s="84"/>
      <c r="AP389" s="84"/>
      <c r="AT389" s="84"/>
      <c r="AX389" s="84"/>
      <c r="BB389" s="85"/>
      <c r="BC389" s="84"/>
      <c r="BD389" s="84"/>
      <c r="BF389" s="84"/>
      <c r="BL389" s="84"/>
      <c r="BP389" s="86"/>
      <c r="BV389" s="84"/>
      <c r="CA389" s="84"/>
      <c r="CF389" s="84"/>
      <c r="CK389" s="84"/>
      <c r="CP389" s="84"/>
      <c r="CS389" s="86"/>
      <c r="CT389" s="84"/>
      <c r="CW389" s="86"/>
      <c r="CX389" s="84"/>
      <c r="DA389" s="86"/>
      <c r="DB389" s="84"/>
      <c r="DE389" s="86"/>
      <c r="DF389" s="84"/>
      <c r="DI389" s="86"/>
      <c r="DJ389" s="84"/>
      <c r="DM389" s="86"/>
      <c r="DN389" s="84"/>
      <c r="DQ389" s="86"/>
      <c r="DR389" s="85"/>
      <c r="DS389" s="85"/>
      <c r="DT389" s="84"/>
      <c r="DV389" s="84"/>
      <c r="DW389" s="157"/>
      <c r="EB389" s="84"/>
      <c r="EG389" s="84"/>
      <c r="EK389" s="84"/>
      <c r="EO389" s="84"/>
      <c r="ES389" s="84"/>
      <c r="EW389" s="84"/>
    </row>
    <row r="390" customFormat="false" ht="12.75" hidden="false" customHeight="false" outlineLevel="0" collapsed="false">
      <c r="A390" s="37"/>
      <c r="E390" s="83"/>
      <c r="J390" s="84"/>
      <c r="N390" s="84"/>
      <c r="R390" s="84"/>
      <c r="V390" s="84"/>
      <c r="Z390" s="84"/>
      <c r="AD390" s="84"/>
      <c r="AH390" s="84"/>
      <c r="AL390" s="84"/>
      <c r="AP390" s="84"/>
      <c r="AT390" s="84"/>
      <c r="AX390" s="84"/>
      <c r="BB390" s="85"/>
      <c r="BC390" s="84"/>
      <c r="BD390" s="84"/>
      <c r="BF390" s="84"/>
      <c r="BL390" s="84"/>
      <c r="BP390" s="86"/>
      <c r="BV390" s="84"/>
      <c r="CA390" s="84"/>
      <c r="CF390" s="84"/>
      <c r="CK390" s="84"/>
      <c r="CP390" s="84"/>
      <c r="CS390" s="86"/>
      <c r="CT390" s="84"/>
      <c r="CW390" s="86"/>
      <c r="CX390" s="84"/>
      <c r="DA390" s="86"/>
      <c r="DB390" s="84"/>
      <c r="DE390" s="86"/>
      <c r="DF390" s="84"/>
      <c r="DI390" s="86"/>
      <c r="DJ390" s="84"/>
      <c r="DM390" s="86"/>
      <c r="DN390" s="84"/>
      <c r="DQ390" s="86"/>
      <c r="DR390" s="85"/>
      <c r="DS390" s="85"/>
      <c r="DT390" s="84"/>
      <c r="DV390" s="84"/>
      <c r="DW390" s="157"/>
      <c r="EB390" s="84"/>
      <c r="EG390" s="84"/>
      <c r="EK390" s="84"/>
      <c r="EO390" s="84"/>
      <c r="ES390" s="84"/>
      <c r="EW390" s="84"/>
    </row>
    <row r="391" customFormat="false" ht="12.75" hidden="false" customHeight="false" outlineLevel="0" collapsed="false">
      <c r="A391" s="37"/>
      <c r="E391" s="83"/>
      <c r="J391" s="84"/>
      <c r="N391" s="84"/>
      <c r="R391" s="84"/>
      <c r="V391" s="84"/>
      <c r="Z391" s="84"/>
      <c r="AD391" s="84"/>
      <c r="AH391" s="84"/>
      <c r="AL391" s="84"/>
      <c r="AP391" s="84"/>
      <c r="AT391" s="84"/>
      <c r="AX391" s="84"/>
      <c r="BB391" s="85"/>
      <c r="BC391" s="84"/>
      <c r="BD391" s="84"/>
      <c r="BF391" s="84"/>
      <c r="BL391" s="84"/>
      <c r="BP391" s="86"/>
      <c r="BV391" s="84"/>
      <c r="CA391" s="84"/>
      <c r="CF391" s="84"/>
      <c r="CK391" s="84"/>
      <c r="CP391" s="84"/>
      <c r="CS391" s="86"/>
      <c r="CT391" s="84"/>
      <c r="CW391" s="86"/>
      <c r="CX391" s="84"/>
      <c r="DA391" s="86"/>
      <c r="DB391" s="84"/>
      <c r="DE391" s="86"/>
      <c r="DF391" s="84"/>
      <c r="DI391" s="86"/>
      <c r="DJ391" s="84"/>
      <c r="DM391" s="86"/>
      <c r="DN391" s="84"/>
      <c r="DQ391" s="86"/>
      <c r="DR391" s="85"/>
      <c r="DS391" s="85"/>
      <c r="DT391" s="84"/>
      <c r="DV391" s="84"/>
      <c r="DW391" s="157"/>
      <c r="EB391" s="84"/>
      <c r="EG391" s="84"/>
      <c r="EK391" s="84"/>
      <c r="EO391" s="84"/>
      <c r="ES391" s="84"/>
      <c r="EW391" s="84"/>
    </row>
    <row r="392" customFormat="false" ht="12.75" hidden="false" customHeight="false" outlineLevel="0" collapsed="false">
      <c r="A392" s="37"/>
      <c r="E392" s="83"/>
      <c r="J392" s="84"/>
      <c r="N392" s="84"/>
      <c r="R392" s="84"/>
      <c r="V392" s="84"/>
      <c r="Z392" s="84"/>
      <c r="AD392" s="84"/>
      <c r="AH392" s="84"/>
      <c r="AL392" s="84"/>
      <c r="AP392" s="84"/>
      <c r="AT392" s="84"/>
      <c r="AX392" s="84"/>
      <c r="BB392" s="85"/>
      <c r="BC392" s="84"/>
      <c r="BD392" s="84"/>
      <c r="BF392" s="84"/>
      <c r="BL392" s="84"/>
      <c r="BP392" s="86"/>
      <c r="BV392" s="84"/>
      <c r="CA392" s="84"/>
      <c r="CF392" s="84"/>
      <c r="CK392" s="84"/>
      <c r="CP392" s="84"/>
      <c r="CS392" s="86"/>
      <c r="CT392" s="84"/>
      <c r="CW392" s="86"/>
      <c r="CX392" s="84"/>
      <c r="DA392" s="86"/>
      <c r="DB392" s="84"/>
      <c r="DE392" s="86"/>
      <c r="DF392" s="84"/>
      <c r="DI392" s="86"/>
      <c r="DJ392" s="84"/>
      <c r="DM392" s="86"/>
      <c r="DN392" s="84"/>
      <c r="DQ392" s="86"/>
      <c r="DR392" s="85"/>
      <c r="DS392" s="85"/>
      <c r="DT392" s="84"/>
      <c r="DV392" s="84"/>
      <c r="DW392" s="157"/>
      <c r="EB392" s="84"/>
      <c r="EG392" s="84"/>
      <c r="EK392" s="84"/>
      <c r="EO392" s="84"/>
      <c r="ES392" s="84"/>
      <c r="EW392" s="84"/>
    </row>
    <row r="393" customFormat="false" ht="12.75" hidden="false" customHeight="false" outlineLevel="0" collapsed="false">
      <c r="A393" s="37"/>
      <c r="E393" s="83"/>
      <c r="J393" s="84"/>
      <c r="N393" s="84"/>
      <c r="R393" s="84"/>
      <c r="V393" s="84"/>
      <c r="Z393" s="84"/>
      <c r="AD393" s="84"/>
      <c r="AH393" s="84"/>
      <c r="AL393" s="84"/>
      <c r="AP393" s="84"/>
      <c r="AT393" s="84"/>
      <c r="AX393" s="84"/>
      <c r="BB393" s="85"/>
      <c r="BC393" s="84"/>
      <c r="BD393" s="84"/>
      <c r="BF393" s="84"/>
      <c r="BL393" s="84"/>
      <c r="BP393" s="86"/>
      <c r="BV393" s="84"/>
      <c r="CA393" s="84"/>
      <c r="CF393" s="84"/>
      <c r="CK393" s="84"/>
      <c r="CP393" s="84"/>
      <c r="CS393" s="86"/>
      <c r="CT393" s="84"/>
      <c r="CW393" s="86"/>
      <c r="CX393" s="84"/>
      <c r="DA393" s="86"/>
      <c r="DB393" s="84"/>
      <c r="DE393" s="86"/>
      <c r="DF393" s="84"/>
      <c r="DI393" s="86"/>
      <c r="DJ393" s="84"/>
      <c r="DM393" s="86"/>
      <c r="DN393" s="84"/>
      <c r="DQ393" s="86"/>
      <c r="DR393" s="85"/>
      <c r="DS393" s="85"/>
      <c r="DT393" s="84"/>
      <c r="DV393" s="84"/>
      <c r="DW393" s="157"/>
      <c r="EB393" s="84"/>
      <c r="EG393" s="84"/>
      <c r="EK393" s="84"/>
      <c r="EO393" s="84"/>
      <c r="ES393" s="84"/>
      <c r="EW393" s="84"/>
    </row>
    <row r="394" customFormat="false" ht="12.75" hidden="false" customHeight="false" outlineLevel="0" collapsed="false">
      <c r="A394" s="37"/>
      <c r="E394" s="83"/>
      <c r="J394" s="84"/>
      <c r="N394" s="84"/>
      <c r="R394" s="84"/>
      <c r="V394" s="84"/>
      <c r="Z394" s="84"/>
      <c r="AD394" s="84"/>
      <c r="AH394" s="84"/>
      <c r="AL394" s="84"/>
      <c r="AP394" s="84"/>
      <c r="AT394" s="84"/>
      <c r="AX394" s="84"/>
      <c r="BB394" s="85"/>
      <c r="BC394" s="84"/>
      <c r="BD394" s="84"/>
      <c r="BF394" s="84"/>
      <c r="BL394" s="84"/>
      <c r="BP394" s="86"/>
      <c r="BV394" s="84"/>
      <c r="CA394" s="84"/>
      <c r="CF394" s="84"/>
      <c r="CK394" s="84"/>
      <c r="CP394" s="84"/>
      <c r="CS394" s="86"/>
      <c r="CT394" s="84"/>
      <c r="CW394" s="86"/>
      <c r="CX394" s="84"/>
      <c r="DA394" s="86"/>
      <c r="DB394" s="84"/>
      <c r="DE394" s="86"/>
      <c r="DF394" s="84"/>
      <c r="DI394" s="86"/>
      <c r="DJ394" s="84"/>
      <c r="DM394" s="86"/>
      <c r="DN394" s="84"/>
      <c r="DQ394" s="86"/>
      <c r="DR394" s="85"/>
      <c r="DS394" s="85"/>
      <c r="DT394" s="84"/>
      <c r="DV394" s="84"/>
      <c r="DW394" s="157"/>
      <c r="EB394" s="84"/>
      <c r="EG394" s="84"/>
      <c r="EK394" s="84"/>
      <c r="EO394" s="84"/>
      <c r="ES394" s="84"/>
      <c r="EW394" s="84"/>
    </row>
    <row r="395" customFormat="false" ht="12.75" hidden="false" customHeight="false" outlineLevel="0" collapsed="false">
      <c r="A395" s="37"/>
      <c r="E395" s="83"/>
      <c r="J395" s="84"/>
      <c r="N395" s="84"/>
      <c r="R395" s="84"/>
      <c r="V395" s="84"/>
      <c r="Z395" s="84"/>
      <c r="AD395" s="84"/>
      <c r="AH395" s="84"/>
      <c r="AL395" s="84"/>
      <c r="AP395" s="84"/>
      <c r="AT395" s="84"/>
      <c r="AX395" s="84"/>
      <c r="BB395" s="85"/>
      <c r="BC395" s="84"/>
      <c r="BD395" s="84"/>
      <c r="BF395" s="84"/>
      <c r="BL395" s="84"/>
      <c r="BP395" s="86"/>
      <c r="BV395" s="84"/>
      <c r="CA395" s="84"/>
      <c r="CF395" s="84"/>
      <c r="CK395" s="84"/>
      <c r="CP395" s="84"/>
      <c r="CS395" s="86"/>
      <c r="CT395" s="84"/>
      <c r="CW395" s="86"/>
      <c r="CX395" s="84"/>
      <c r="DA395" s="86"/>
      <c r="DB395" s="84"/>
      <c r="DE395" s="86"/>
      <c r="DF395" s="84"/>
      <c r="DI395" s="86"/>
      <c r="DJ395" s="84"/>
      <c r="DM395" s="86"/>
      <c r="DN395" s="84"/>
      <c r="DQ395" s="86"/>
      <c r="DR395" s="85"/>
      <c r="DS395" s="85"/>
      <c r="DT395" s="84"/>
      <c r="DV395" s="84"/>
      <c r="DW395" s="157"/>
      <c r="EB395" s="84"/>
      <c r="EG395" s="84"/>
      <c r="EK395" s="84"/>
      <c r="EO395" s="84"/>
      <c r="ES395" s="84"/>
      <c r="EW395" s="84"/>
    </row>
    <row r="396" customFormat="false" ht="12.75" hidden="false" customHeight="false" outlineLevel="0" collapsed="false">
      <c r="A396" s="37"/>
      <c r="E396" s="83"/>
      <c r="J396" s="84"/>
      <c r="N396" s="84"/>
      <c r="R396" s="84"/>
      <c r="V396" s="84"/>
      <c r="Z396" s="84"/>
      <c r="AD396" s="84"/>
      <c r="AH396" s="84"/>
      <c r="AL396" s="84"/>
      <c r="AP396" s="84"/>
      <c r="AT396" s="84"/>
      <c r="AX396" s="84"/>
      <c r="BB396" s="85"/>
      <c r="BC396" s="84"/>
      <c r="BD396" s="84"/>
      <c r="BF396" s="84"/>
      <c r="BL396" s="84"/>
      <c r="BP396" s="86"/>
      <c r="BV396" s="84"/>
      <c r="CA396" s="84"/>
      <c r="CF396" s="84"/>
      <c r="CK396" s="84"/>
      <c r="CP396" s="84"/>
      <c r="CS396" s="86"/>
      <c r="CT396" s="84"/>
      <c r="CW396" s="86"/>
      <c r="CX396" s="84"/>
      <c r="DA396" s="86"/>
      <c r="DB396" s="84"/>
      <c r="DE396" s="86"/>
      <c r="DF396" s="84"/>
      <c r="DI396" s="86"/>
      <c r="DJ396" s="84"/>
      <c r="DM396" s="86"/>
      <c r="DN396" s="84"/>
      <c r="DQ396" s="86"/>
      <c r="DR396" s="85"/>
      <c r="DS396" s="85"/>
      <c r="DT396" s="84"/>
      <c r="DV396" s="84"/>
      <c r="DW396" s="157"/>
      <c r="EB396" s="84"/>
      <c r="EG396" s="84"/>
      <c r="EK396" s="84"/>
      <c r="EO396" s="84"/>
      <c r="ES396" s="84"/>
      <c r="EW396" s="84"/>
    </row>
    <row r="397" customFormat="false" ht="12.75" hidden="false" customHeight="false" outlineLevel="0" collapsed="false">
      <c r="A397" s="37"/>
      <c r="E397" s="83"/>
      <c r="J397" s="84"/>
      <c r="N397" s="84"/>
      <c r="R397" s="84"/>
      <c r="V397" s="84"/>
      <c r="Z397" s="84"/>
      <c r="AD397" s="84"/>
      <c r="AH397" s="84"/>
      <c r="AL397" s="84"/>
      <c r="AP397" s="84"/>
      <c r="AT397" s="84"/>
      <c r="AX397" s="84"/>
      <c r="BB397" s="85"/>
      <c r="BC397" s="84"/>
      <c r="BD397" s="84"/>
      <c r="BF397" s="84"/>
      <c r="BL397" s="84"/>
      <c r="BP397" s="86"/>
      <c r="BV397" s="84"/>
      <c r="CA397" s="84"/>
      <c r="CF397" s="84"/>
      <c r="CK397" s="84"/>
      <c r="CP397" s="84"/>
      <c r="CS397" s="86"/>
      <c r="CT397" s="84"/>
      <c r="CW397" s="86"/>
      <c r="CX397" s="84"/>
      <c r="DA397" s="86"/>
      <c r="DB397" s="84"/>
      <c r="DE397" s="86"/>
      <c r="DF397" s="84"/>
      <c r="DI397" s="86"/>
      <c r="DJ397" s="84"/>
      <c r="DM397" s="86"/>
      <c r="DN397" s="84"/>
      <c r="DQ397" s="86"/>
      <c r="DR397" s="85"/>
      <c r="DS397" s="85"/>
      <c r="DT397" s="84"/>
      <c r="DV397" s="84"/>
      <c r="DW397" s="157"/>
      <c r="EB397" s="84"/>
      <c r="EG397" s="84"/>
      <c r="EK397" s="84"/>
      <c r="EO397" s="84"/>
      <c r="ES397" s="84"/>
      <c r="EW397" s="84"/>
    </row>
    <row r="398" customFormat="false" ht="12.75" hidden="false" customHeight="false" outlineLevel="0" collapsed="false">
      <c r="A398" s="37"/>
      <c r="E398" s="83"/>
      <c r="J398" s="84"/>
      <c r="N398" s="84"/>
      <c r="R398" s="84"/>
      <c r="V398" s="84"/>
      <c r="Z398" s="84"/>
      <c r="AD398" s="84"/>
      <c r="AH398" s="84"/>
      <c r="AL398" s="84"/>
      <c r="AP398" s="84"/>
      <c r="AT398" s="84"/>
      <c r="AX398" s="84"/>
      <c r="BB398" s="85"/>
      <c r="BC398" s="84"/>
      <c r="BD398" s="84"/>
      <c r="BF398" s="84"/>
      <c r="BL398" s="84"/>
      <c r="BP398" s="86"/>
      <c r="BV398" s="84"/>
      <c r="CA398" s="84"/>
      <c r="CF398" s="84"/>
      <c r="CK398" s="84"/>
      <c r="CP398" s="84"/>
      <c r="CS398" s="86"/>
      <c r="CT398" s="84"/>
      <c r="CW398" s="86"/>
      <c r="CX398" s="84"/>
      <c r="DA398" s="86"/>
      <c r="DB398" s="84"/>
      <c r="DE398" s="86"/>
      <c r="DF398" s="84"/>
      <c r="DI398" s="86"/>
      <c r="DJ398" s="84"/>
      <c r="DM398" s="86"/>
      <c r="DN398" s="84"/>
      <c r="DQ398" s="86"/>
      <c r="DR398" s="85"/>
      <c r="DS398" s="85"/>
      <c r="DT398" s="84"/>
      <c r="DV398" s="84"/>
      <c r="DW398" s="157"/>
      <c r="EB398" s="84"/>
      <c r="EG398" s="84"/>
      <c r="EK398" s="84"/>
      <c r="EO398" s="84"/>
      <c r="ES398" s="84"/>
      <c r="EW398" s="84"/>
    </row>
    <row r="399" customFormat="false" ht="12.75" hidden="false" customHeight="false" outlineLevel="0" collapsed="false">
      <c r="A399" s="37"/>
      <c r="E399" s="83"/>
      <c r="J399" s="84"/>
      <c r="N399" s="84"/>
      <c r="R399" s="84"/>
      <c r="V399" s="84"/>
      <c r="Z399" s="84"/>
      <c r="AD399" s="84"/>
      <c r="AH399" s="84"/>
      <c r="AL399" s="84"/>
      <c r="AP399" s="84"/>
      <c r="AT399" s="84"/>
      <c r="AX399" s="84"/>
      <c r="BB399" s="85"/>
      <c r="BC399" s="84"/>
      <c r="BD399" s="84"/>
      <c r="BF399" s="84"/>
      <c r="BL399" s="84"/>
      <c r="BP399" s="86"/>
      <c r="BV399" s="84"/>
      <c r="CA399" s="84"/>
      <c r="CF399" s="84"/>
      <c r="CK399" s="84"/>
      <c r="CP399" s="84"/>
      <c r="CS399" s="86"/>
      <c r="CT399" s="84"/>
      <c r="CW399" s="86"/>
      <c r="CX399" s="84"/>
      <c r="DA399" s="86"/>
      <c r="DB399" s="84"/>
      <c r="DE399" s="86"/>
      <c r="DF399" s="84"/>
      <c r="DI399" s="86"/>
      <c r="DJ399" s="84"/>
      <c r="DM399" s="86"/>
      <c r="DN399" s="84"/>
      <c r="DQ399" s="86"/>
      <c r="DR399" s="85"/>
      <c r="DS399" s="85"/>
      <c r="DT399" s="84"/>
      <c r="DV399" s="84"/>
      <c r="DW399" s="157"/>
      <c r="EB399" s="84"/>
      <c r="EG399" s="84"/>
      <c r="EK399" s="84"/>
      <c r="EO399" s="84"/>
      <c r="ES399" s="84"/>
      <c r="EW399" s="84"/>
    </row>
    <row r="400" customFormat="false" ht="12.75" hidden="false" customHeight="false" outlineLevel="0" collapsed="false">
      <c r="A400" s="37"/>
      <c r="E400" s="83"/>
      <c r="J400" s="84"/>
      <c r="N400" s="84"/>
      <c r="R400" s="84"/>
      <c r="V400" s="84"/>
      <c r="Z400" s="84"/>
      <c r="AD400" s="84"/>
      <c r="AH400" s="84"/>
      <c r="AL400" s="84"/>
      <c r="AP400" s="84"/>
      <c r="AT400" s="84"/>
      <c r="AX400" s="84"/>
      <c r="BB400" s="85"/>
      <c r="BC400" s="84"/>
      <c r="BD400" s="84"/>
      <c r="BF400" s="84"/>
      <c r="BL400" s="84"/>
      <c r="BP400" s="86"/>
      <c r="BV400" s="84"/>
      <c r="CA400" s="84"/>
      <c r="CF400" s="84"/>
      <c r="CK400" s="84"/>
      <c r="CP400" s="84"/>
      <c r="CS400" s="86"/>
      <c r="CT400" s="84"/>
      <c r="CW400" s="86"/>
      <c r="CX400" s="84"/>
      <c r="DA400" s="86"/>
      <c r="DB400" s="84"/>
      <c r="DE400" s="86"/>
      <c r="DF400" s="84"/>
      <c r="DI400" s="86"/>
      <c r="DJ400" s="84"/>
      <c r="DM400" s="86"/>
      <c r="DN400" s="84"/>
      <c r="DQ400" s="86"/>
      <c r="DR400" s="85"/>
      <c r="DS400" s="85"/>
      <c r="DT400" s="84"/>
      <c r="DV400" s="84"/>
      <c r="DW400" s="157"/>
      <c r="EB400" s="84"/>
      <c r="EG400" s="84"/>
      <c r="EK400" s="84"/>
      <c r="EO400" s="84"/>
      <c r="ES400" s="84"/>
      <c r="EW400" s="84"/>
    </row>
    <row r="401" customFormat="false" ht="12.75" hidden="false" customHeight="false" outlineLevel="0" collapsed="false">
      <c r="A401" s="37"/>
      <c r="E401" s="83"/>
      <c r="J401" s="84"/>
      <c r="N401" s="84"/>
      <c r="R401" s="84"/>
      <c r="V401" s="84"/>
      <c r="Z401" s="84"/>
      <c r="AD401" s="84"/>
      <c r="AH401" s="84"/>
      <c r="AL401" s="84"/>
      <c r="AP401" s="84"/>
      <c r="AT401" s="84"/>
      <c r="AX401" s="84"/>
      <c r="BB401" s="85"/>
      <c r="BC401" s="84"/>
      <c r="BD401" s="84"/>
      <c r="BF401" s="84"/>
      <c r="BL401" s="84"/>
      <c r="BP401" s="86"/>
      <c r="BV401" s="84"/>
      <c r="CA401" s="84"/>
      <c r="CF401" s="84"/>
      <c r="CK401" s="84"/>
      <c r="CP401" s="84"/>
      <c r="CS401" s="86"/>
      <c r="CT401" s="84"/>
      <c r="CW401" s="86"/>
      <c r="CX401" s="84"/>
      <c r="DA401" s="86"/>
      <c r="DB401" s="84"/>
      <c r="DE401" s="86"/>
      <c r="DF401" s="84"/>
      <c r="DI401" s="86"/>
      <c r="DJ401" s="84"/>
      <c r="DM401" s="86"/>
      <c r="DN401" s="84"/>
      <c r="DQ401" s="86"/>
      <c r="DR401" s="85"/>
      <c r="DS401" s="85"/>
      <c r="DT401" s="84"/>
      <c r="DV401" s="84"/>
      <c r="DW401" s="157"/>
      <c r="EB401" s="84"/>
      <c r="EG401" s="84"/>
      <c r="EK401" s="84"/>
      <c r="EO401" s="84"/>
      <c r="ES401" s="84"/>
      <c r="EW401" s="84"/>
    </row>
    <row r="402" customFormat="false" ht="12.75" hidden="false" customHeight="false" outlineLevel="0" collapsed="false">
      <c r="A402" s="37"/>
      <c r="E402" s="83"/>
      <c r="J402" s="84"/>
      <c r="N402" s="84"/>
      <c r="R402" s="84"/>
      <c r="V402" s="84"/>
      <c r="Z402" s="84"/>
      <c r="AD402" s="84"/>
      <c r="AH402" s="84"/>
      <c r="AL402" s="84"/>
      <c r="AP402" s="84"/>
      <c r="AT402" s="84"/>
      <c r="AX402" s="84"/>
      <c r="BB402" s="85"/>
      <c r="BC402" s="84"/>
      <c r="BD402" s="84"/>
      <c r="BF402" s="84"/>
      <c r="BL402" s="84"/>
      <c r="BP402" s="86"/>
      <c r="BV402" s="84"/>
      <c r="CA402" s="84"/>
      <c r="CF402" s="84"/>
      <c r="CK402" s="84"/>
      <c r="CP402" s="84"/>
      <c r="CS402" s="86"/>
      <c r="CT402" s="84"/>
      <c r="CW402" s="86"/>
      <c r="CX402" s="84"/>
      <c r="DA402" s="86"/>
      <c r="DB402" s="84"/>
      <c r="DE402" s="86"/>
      <c r="DF402" s="84"/>
      <c r="DI402" s="86"/>
      <c r="DJ402" s="84"/>
      <c r="DM402" s="86"/>
      <c r="DN402" s="84"/>
      <c r="DQ402" s="86"/>
      <c r="DR402" s="85"/>
      <c r="DS402" s="85"/>
      <c r="DT402" s="84"/>
      <c r="DV402" s="84"/>
      <c r="DW402" s="157"/>
      <c r="EB402" s="84"/>
      <c r="EG402" s="84"/>
      <c r="EK402" s="84"/>
      <c r="EO402" s="84"/>
      <c r="ES402" s="84"/>
      <c r="EW402" s="84"/>
    </row>
    <row r="403" customFormat="false" ht="12.75" hidden="false" customHeight="false" outlineLevel="0" collapsed="false">
      <c r="A403" s="37"/>
      <c r="E403" s="83"/>
      <c r="J403" s="84"/>
      <c r="N403" s="84"/>
      <c r="R403" s="84"/>
      <c r="V403" s="84"/>
      <c r="Z403" s="84"/>
      <c r="AD403" s="84"/>
      <c r="AH403" s="84"/>
      <c r="AL403" s="84"/>
      <c r="AP403" s="84"/>
      <c r="AT403" s="84"/>
      <c r="AX403" s="84"/>
      <c r="BB403" s="85"/>
      <c r="BC403" s="84"/>
      <c r="BD403" s="84"/>
      <c r="BF403" s="84"/>
      <c r="BL403" s="84"/>
      <c r="BP403" s="86"/>
      <c r="BV403" s="84"/>
      <c r="CA403" s="84"/>
      <c r="CF403" s="84"/>
      <c r="CK403" s="84"/>
      <c r="CP403" s="84"/>
      <c r="CS403" s="86"/>
      <c r="CT403" s="84"/>
      <c r="CW403" s="86"/>
      <c r="CX403" s="84"/>
      <c r="DA403" s="86"/>
      <c r="DB403" s="84"/>
      <c r="DE403" s="86"/>
      <c r="DF403" s="84"/>
      <c r="DI403" s="86"/>
      <c r="DJ403" s="84"/>
      <c r="DM403" s="86"/>
      <c r="DN403" s="84"/>
      <c r="DQ403" s="86"/>
      <c r="DR403" s="85"/>
      <c r="DS403" s="85"/>
      <c r="DT403" s="84"/>
      <c r="DV403" s="84"/>
      <c r="DW403" s="157"/>
      <c r="EB403" s="84"/>
      <c r="EG403" s="84"/>
      <c r="EK403" s="84"/>
      <c r="EO403" s="84"/>
      <c r="ES403" s="84"/>
      <c r="EW403" s="84"/>
    </row>
    <row r="404" customFormat="false" ht="12.75" hidden="false" customHeight="false" outlineLevel="0" collapsed="false">
      <c r="A404" s="37"/>
      <c r="E404" s="83"/>
      <c r="J404" s="84"/>
      <c r="N404" s="84"/>
      <c r="R404" s="84"/>
      <c r="V404" s="84"/>
      <c r="Z404" s="84"/>
      <c r="AD404" s="84"/>
      <c r="AH404" s="84"/>
      <c r="AL404" s="84"/>
      <c r="AP404" s="84"/>
      <c r="AT404" s="84"/>
      <c r="AX404" s="84"/>
      <c r="BB404" s="85"/>
      <c r="BC404" s="84"/>
      <c r="BD404" s="84"/>
      <c r="BF404" s="84"/>
      <c r="BL404" s="84"/>
      <c r="BP404" s="86"/>
      <c r="BV404" s="84"/>
      <c r="CA404" s="84"/>
      <c r="CF404" s="84"/>
      <c r="CK404" s="84"/>
      <c r="CP404" s="84"/>
      <c r="CS404" s="86"/>
      <c r="CT404" s="84"/>
      <c r="CW404" s="86"/>
      <c r="CX404" s="84"/>
      <c r="DA404" s="86"/>
      <c r="DB404" s="84"/>
      <c r="DE404" s="86"/>
      <c r="DF404" s="84"/>
      <c r="DI404" s="86"/>
      <c r="DJ404" s="84"/>
      <c r="DM404" s="86"/>
      <c r="DN404" s="84"/>
      <c r="DQ404" s="86"/>
      <c r="DR404" s="85"/>
      <c r="DS404" s="85"/>
      <c r="DT404" s="84"/>
      <c r="DV404" s="84"/>
      <c r="DW404" s="157"/>
      <c r="EB404" s="84"/>
      <c r="EG404" s="84"/>
      <c r="EK404" s="84"/>
      <c r="EO404" s="84"/>
      <c r="ES404" s="84"/>
      <c r="EW404" s="84"/>
    </row>
    <row r="405" customFormat="false" ht="12.75" hidden="false" customHeight="false" outlineLevel="0" collapsed="false">
      <c r="A405" s="37"/>
      <c r="E405" s="83"/>
      <c r="J405" s="84"/>
      <c r="N405" s="84"/>
      <c r="R405" s="84"/>
      <c r="V405" s="84"/>
      <c r="Z405" s="84"/>
      <c r="AD405" s="84"/>
      <c r="AH405" s="84"/>
      <c r="AL405" s="84"/>
      <c r="AP405" s="84"/>
      <c r="AT405" s="84"/>
      <c r="AX405" s="84"/>
      <c r="BB405" s="85"/>
      <c r="BC405" s="84"/>
      <c r="BD405" s="84"/>
      <c r="BF405" s="84"/>
      <c r="BL405" s="84"/>
      <c r="BP405" s="86"/>
      <c r="BV405" s="84"/>
      <c r="CA405" s="84"/>
      <c r="CF405" s="84"/>
      <c r="CK405" s="84"/>
      <c r="CP405" s="84"/>
      <c r="CS405" s="86"/>
      <c r="CT405" s="84"/>
      <c r="CW405" s="86"/>
      <c r="CX405" s="84"/>
      <c r="DA405" s="86"/>
      <c r="DB405" s="84"/>
      <c r="DE405" s="86"/>
      <c r="DF405" s="84"/>
      <c r="DI405" s="86"/>
      <c r="DJ405" s="84"/>
      <c r="DM405" s="86"/>
      <c r="DN405" s="84"/>
      <c r="DQ405" s="86"/>
      <c r="DR405" s="85"/>
      <c r="DS405" s="85"/>
      <c r="DT405" s="84"/>
      <c r="DV405" s="84"/>
      <c r="DW405" s="157"/>
      <c r="EB405" s="84"/>
      <c r="EG405" s="84"/>
      <c r="EK405" s="84"/>
      <c r="EO405" s="84"/>
      <c r="ES405" s="84"/>
      <c r="EW405" s="84"/>
    </row>
    <row r="406" customFormat="false" ht="12.75" hidden="false" customHeight="false" outlineLevel="0" collapsed="false">
      <c r="A406" s="37"/>
      <c r="E406" s="83"/>
      <c r="J406" s="84"/>
      <c r="N406" s="84"/>
      <c r="R406" s="84"/>
      <c r="V406" s="84"/>
      <c r="Z406" s="84"/>
      <c r="AD406" s="84"/>
      <c r="AH406" s="84"/>
      <c r="AL406" s="84"/>
      <c r="AP406" s="84"/>
      <c r="AT406" s="84"/>
      <c r="AX406" s="84"/>
      <c r="BB406" s="85"/>
      <c r="BC406" s="84"/>
      <c r="BD406" s="84"/>
      <c r="BF406" s="84"/>
      <c r="BL406" s="84"/>
      <c r="BP406" s="86"/>
      <c r="BV406" s="84"/>
      <c r="CA406" s="84"/>
      <c r="CF406" s="84"/>
      <c r="CK406" s="84"/>
      <c r="CP406" s="84"/>
      <c r="CS406" s="86"/>
      <c r="CT406" s="84"/>
      <c r="CW406" s="86"/>
      <c r="CX406" s="84"/>
      <c r="DA406" s="86"/>
      <c r="DB406" s="84"/>
      <c r="DE406" s="86"/>
      <c r="DF406" s="84"/>
      <c r="DI406" s="86"/>
      <c r="DJ406" s="84"/>
      <c r="DM406" s="86"/>
      <c r="DN406" s="84"/>
      <c r="DQ406" s="86"/>
      <c r="DR406" s="85"/>
      <c r="DS406" s="85"/>
      <c r="DT406" s="84"/>
      <c r="DV406" s="84"/>
      <c r="DW406" s="157"/>
      <c r="EB406" s="84"/>
      <c r="EG406" s="84"/>
      <c r="EK406" s="84"/>
      <c r="EO406" s="84"/>
      <c r="ES406" s="84"/>
      <c r="EW406" s="84"/>
    </row>
    <row r="407" customFormat="false" ht="12.75" hidden="false" customHeight="false" outlineLevel="0" collapsed="false">
      <c r="A407" s="37"/>
      <c r="E407" s="83"/>
      <c r="J407" s="84"/>
      <c r="N407" s="84"/>
      <c r="R407" s="84"/>
      <c r="V407" s="84"/>
      <c r="Z407" s="84"/>
      <c r="AD407" s="84"/>
      <c r="AH407" s="84"/>
      <c r="AL407" s="84"/>
      <c r="AP407" s="84"/>
      <c r="AT407" s="84"/>
      <c r="AX407" s="84"/>
      <c r="BB407" s="85"/>
      <c r="BC407" s="84"/>
      <c r="BD407" s="84"/>
      <c r="BF407" s="84"/>
      <c r="BL407" s="84"/>
      <c r="BP407" s="86"/>
      <c r="BV407" s="84"/>
      <c r="CA407" s="84"/>
      <c r="CF407" s="84"/>
      <c r="CK407" s="84"/>
      <c r="CP407" s="84"/>
      <c r="CS407" s="86"/>
      <c r="CT407" s="84"/>
      <c r="CW407" s="86"/>
      <c r="CX407" s="84"/>
      <c r="DA407" s="86"/>
      <c r="DB407" s="84"/>
      <c r="DE407" s="86"/>
      <c r="DF407" s="84"/>
      <c r="DI407" s="86"/>
      <c r="DJ407" s="84"/>
      <c r="DM407" s="86"/>
      <c r="DN407" s="84"/>
      <c r="DQ407" s="86"/>
      <c r="DR407" s="85"/>
      <c r="DS407" s="85"/>
      <c r="DT407" s="84"/>
      <c r="DV407" s="84"/>
      <c r="DW407" s="157"/>
      <c r="EB407" s="84"/>
      <c r="EG407" s="84"/>
      <c r="EK407" s="84"/>
      <c r="EO407" s="84"/>
      <c r="ES407" s="84"/>
      <c r="EW407" s="84"/>
    </row>
    <row r="408" customFormat="false" ht="12.75" hidden="false" customHeight="false" outlineLevel="0" collapsed="false">
      <c r="A408" s="37"/>
      <c r="E408" s="83"/>
      <c r="J408" s="84"/>
      <c r="N408" s="84"/>
      <c r="R408" s="84"/>
      <c r="V408" s="84"/>
      <c r="Z408" s="84"/>
      <c r="AD408" s="84"/>
      <c r="AH408" s="84"/>
      <c r="AL408" s="84"/>
      <c r="AP408" s="84"/>
      <c r="AT408" s="84"/>
      <c r="AX408" s="84"/>
      <c r="BB408" s="85"/>
      <c r="BC408" s="84"/>
      <c r="BD408" s="84"/>
      <c r="BF408" s="84"/>
      <c r="BL408" s="84"/>
      <c r="BP408" s="86"/>
      <c r="BV408" s="84"/>
      <c r="CA408" s="84"/>
      <c r="CF408" s="84"/>
      <c r="CK408" s="84"/>
      <c r="CP408" s="84"/>
      <c r="CS408" s="86"/>
      <c r="CT408" s="84"/>
      <c r="CW408" s="86"/>
      <c r="CX408" s="84"/>
      <c r="DA408" s="86"/>
      <c r="DB408" s="84"/>
      <c r="DE408" s="86"/>
      <c r="DF408" s="84"/>
      <c r="DI408" s="86"/>
      <c r="DJ408" s="84"/>
      <c r="DM408" s="86"/>
      <c r="DN408" s="84"/>
      <c r="DQ408" s="86"/>
      <c r="DR408" s="85"/>
      <c r="DS408" s="85"/>
      <c r="DT408" s="84"/>
      <c r="DV408" s="84"/>
      <c r="DW408" s="157"/>
      <c r="EB408" s="84"/>
      <c r="EG408" s="84"/>
      <c r="EK408" s="84"/>
      <c r="EO408" s="84"/>
      <c r="ES408" s="84"/>
      <c r="EW408" s="84"/>
    </row>
    <row r="409" customFormat="false" ht="12.75" hidden="false" customHeight="false" outlineLevel="0" collapsed="false">
      <c r="A409" s="37"/>
      <c r="E409" s="83"/>
      <c r="J409" s="84"/>
      <c r="N409" s="84"/>
      <c r="R409" s="84"/>
      <c r="V409" s="84"/>
      <c r="Z409" s="84"/>
      <c r="AD409" s="84"/>
      <c r="AH409" s="84"/>
      <c r="AL409" s="84"/>
      <c r="AP409" s="84"/>
      <c r="AT409" s="84"/>
      <c r="AX409" s="84"/>
      <c r="BB409" s="85"/>
      <c r="BC409" s="84"/>
      <c r="BD409" s="84"/>
      <c r="BF409" s="84"/>
      <c r="BL409" s="84"/>
      <c r="BP409" s="86"/>
      <c r="BV409" s="84"/>
      <c r="CA409" s="84"/>
      <c r="CF409" s="84"/>
      <c r="CK409" s="84"/>
      <c r="CP409" s="84"/>
      <c r="CS409" s="86"/>
      <c r="CT409" s="84"/>
      <c r="CW409" s="86"/>
      <c r="CX409" s="84"/>
      <c r="DA409" s="86"/>
      <c r="DB409" s="84"/>
      <c r="DE409" s="86"/>
      <c r="DF409" s="84"/>
      <c r="DI409" s="86"/>
      <c r="DJ409" s="84"/>
      <c r="DM409" s="86"/>
      <c r="DN409" s="84"/>
      <c r="DQ409" s="86"/>
      <c r="DR409" s="85"/>
      <c r="DS409" s="85"/>
      <c r="DT409" s="84"/>
      <c r="DV409" s="84"/>
      <c r="DW409" s="157"/>
      <c r="EB409" s="84"/>
      <c r="EG409" s="84"/>
      <c r="EK409" s="84"/>
      <c r="EO409" s="84"/>
      <c r="ES409" s="84"/>
      <c r="EW409" s="84"/>
    </row>
    <row r="410" customFormat="false" ht="12.75" hidden="false" customHeight="false" outlineLevel="0" collapsed="false">
      <c r="A410" s="37"/>
      <c r="E410" s="83"/>
      <c r="J410" s="84"/>
      <c r="N410" s="84"/>
      <c r="R410" s="84"/>
      <c r="V410" s="84"/>
      <c r="Z410" s="84"/>
      <c r="AD410" s="84"/>
      <c r="AH410" s="84"/>
      <c r="AL410" s="84"/>
      <c r="AP410" s="84"/>
      <c r="AT410" s="84"/>
      <c r="AX410" s="84"/>
      <c r="BB410" s="85"/>
      <c r="BC410" s="84"/>
      <c r="BD410" s="84"/>
      <c r="BF410" s="84"/>
      <c r="BL410" s="84"/>
      <c r="BP410" s="86"/>
      <c r="BV410" s="84"/>
      <c r="CA410" s="84"/>
      <c r="CF410" s="84"/>
      <c r="CK410" s="84"/>
      <c r="CP410" s="84"/>
      <c r="CS410" s="86"/>
      <c r="CT410" s="84"/>
      <c r="CW410" s="86"/>
      <c r="CX410" s="84"/>
      <c r="DA410" s="86"/>
      <c r="DB410" s="84"/>
      <c r="DE410" s="86"/>
      <c r="DF410" s="84"/>
      <c r="DI410" s="86"/>
      <c r="DJ410" s="84"/>
      <c r="DM410" s="86"/>
      <c r="DN410" s="84"/>
      <c r="DQ410" s="86"/>
      <c r="DR410" s="85"/>
      <c r="DS410" s="85"/>
      <c r="DT410" s="84"/>
      <c r="DV410" s="84"/>
      <c r="DW410" s="157"/>
      <c r="EB410" s="84"/>
      <c r="EG410" s="84"/>
      <c r="EK410" s="84"/>
      <c r="EO410" s="84"/>
      <c r="ES410" s="84"/>
      <c r="EW410" s="84"/>
    </row>
    <row r="411" customFormat="false" ht="12.75" hidden="false" customHeight="false" outlineLevel="0" collapsed="false">
      <c r="A411" s="37"/>
      <c r="E411" s="83"/>
      <c r="J411" s="84"/>
      <c r="N411" s="84"/>
      <c r="R411" s="84"/>
      <c r="V411" s="84"/>
      <c r="Z411" s="84"/>
      <c r="AD411" s="84"/>
      <c r="AH411" s="84"/>
      <c r="AL411" s="84"/>
      <c r="AP411" s="84"/>
      <c r="AT411" s="84"/>
      <c r="AX411" s="84"/>
      <c r="BB411" s="85"/>
      <c r="BC411" s="84"/>
      <c r="BD411" s="84"/>
      <c r="BF411" s="84"/>
      <c r="BL411" s="84"/>
      <c r="BP411" s="86"/>
      <c r="BV411" s="84"/>
      <c r="CA411" s="84"/>
      <c r="CF411" s="84"/>
      <c r="CK411" s="84"/>
      <c r="CP411" s="84"/>
      <c r="CS411" s="86"/>
      <c r="CT411" s="84"/>
      <c r="CW411" s="86"/>
      <c r="CX411" s="84"/>
      <c r="DA411" s="86"/>
      <c r="DB411" s="84"/>
      <c r="DE411" s="86"/>
      <c r="DF411" s="84"/>
      <c r="DI411" s="86"/>
      <c r="DJ411" s="84"/>
      <c r="DM411" s="86"/>
      <c r="DN411" s="84"/>
      <c r="DQ411" s="86"/>
      <c r="DR411" s="85"/>
      <c r="DS411" s="85"/>
      <c r="DT411" s="84"/>
      <c r="DV411" s="84"/>
      <c r="DW411" s="157"/>
      <c r="EB411" s="84"/>
      <c r="EG411" s="84"/>
      <c r="EK411" s="84"/>
      <c r="EO411" s="84"/>
      <c r="ES411" s="84"/>
      <c r="EW411" s="84"/>
    </row>
    <row r="412" customFormat="false" ht="12.75" hidden="false" customHeight="false" outlineLevel="0" collapsed="false">
      <c r="A412" s="37"/>
      <c r="E412" s="83"/>
      <c r="J412" s="84"/>
      <c r="N412" s="84"/>
      <c r="R412" s="84"/>
      <c r="V412" s="84"/>
      <c r="Z412" s="84"/>
      <c r="AD412" s="84"/>
      <c r="AH412" s="84"/>
      <c r="AL412" s="84"/>
      <c r="AP412" s="84"/>
      <c r="AT412" s="84"/>
      <c r="AX412" s="84"/>
      <c r="BB412" s="85"/>
      <c r="BC412" s="84"/>
      <c r="BD412" s="84"/>
      <c r="BF412" s="84"/>
      <c r="BL412" s="84"/>
      <c r="BP412" s="86"/>
      <c r="BV412" s="84"/>
      <c r="CA412" s="84"/>
      <c r="CF412" s="84"/>
      <c r="CK412" s="84"/>
      <c r="CP412" s="84"/>
      <c r="CS412" s="86"/>
      <c r="CT412" s="84"/>
      <c r="CW412" s="86"/>
      <c r="CX412" s="84"/>
      <c r="DA412" s="86"/>
      <c r="DB412" s="84"/>
      <c r="DE412" s="86"/>
      <c r="DF412" s="84"/>
      <c r="DI412" s="86"/>
      <c r="DJ412" s="84"/>
      <c r="DM412" s="86"/>
      <c r="DN412" s="84"/>
      <c r="DQ412" s="86"/>
      <c r="DR412" s="85"/>
      <c r="DS412" s="85"/>
      <c r="DT412" s="84"/>
      <c r="DV412" s="84"/>
      <c r="DW412" s="157"/>
      <c r="EB412" s="84"/>
      <c r="EG412" s="84"/>
      <c r="EK412" s="84"/>
      <c r="EO412" s="84"/>
      <c r="ES412" s="84"/>
      <c r="EW412" s="84"/>
    </row>
    <row r="413" customFormat="false" ht="12.75" hidden="false" customHeight="false" outlineLevel="0" collapsed="false">
      <c r="A413" s="37"/>
      <c r="E413" s="83"/>
      <c r="J413" s="84"/>
      <c r="N413" s="84"/>
      <c r="R413" s="84"/>
      <c r="V413" s="84"/>
      <c r="Z413" s="84"/>
      <c r="AD413" s="84"/>
      <c r="AH413" s="84"/>
      <c r="AL413" s="84"/>
      <c r="AP413" s="84"/>
      <c r="AT413" s="84"/>
      <c r="AX413" s="84"/>
      <c r="BB413" s="85"/>
      <c r="BC413" s="84"/>
      <c r="BD413" s="84"/>
      <c r="BF413" s="84"/>
      <c r="BL413" s="84"/>
      <c r="BP413" s="86"/>
      <c r="BV413" s="84"/>
      <c r="CA413" s="84"/>
      <c r="CF413" s="84"/>
      <c r="CK413" s="84"/>
      <c r="CP413" s="84"/>
      <c r="CS413" s="86"/>
      <c r="CT413" s="84"/>
      <c r="CW413" s="86"/>
      <c r="CX413" s="84"/>
      <c r="DA413" s="86"/>
      <c r="DB413" s="84"/>
      <c r="DE413" s="86"/>
      <c r="DF413" s="84"/>
      <c r="DI413" s="86"/>
      <c r="DJ413" s="84"/>
      <c r="DM413" s="86"/>
      <c r="DN413" s="84"/>
      <c r="DQ413" s="86"/>
      <c r="DR413" s="85"/>
      <c r="DS413" s="85"/>
      <c r="DT413" s="84"/>
      <c r="DV413" s="84"/>
      <c r="DW413" s="157"/>
      <c r="EB413" s="84"/>
      <c r="EG413" s="84"/>
      <c r="EK413" s="84"/>
      <c r="EO413" s="84"/>
      <c r="ES413" s="84"/>
      <c r="EW413" s="84"/>
    </row>
    <row r="414" customFormat="false" ht="12.75" hidden="false" customHeight="false" outlineLevel="0" collapsed="false">
      <c r="A414" s="37"/>
      <c r="E414" s="83"/>
      <c r="J414" s="84"/>
      <c r="N414" s="84"/>
      <c r="R414" s="84"/>
      <c r="V414" s="84"/>
      <c r="Z414" s="84"/>
      <c r="AD414" s="84"/>
      <c r="AH414" s="84"/>
      <c r="AL414" s="84"/>
      <c r="AP414" s="84"/>
      <c r="AT414" s="84"/>
      <c r="AX414" s="84"/>
      <c r="BB414" s="85"/>
      <c r="BC414" s="84"/>
      <c r="BD414" s="84"/>
      <c r="BF414" s="84"/>
      <c r="BL414" s="84"/>
      <c r="BP414" s="86"/>
      <c r="BV414" s="84"/>
      <c r="CA414" s="84"/>
      <c r="CF414" s="84"/>
      <c r="CK414" s="84"/>
      <c r="CP414" s="84"/>
      <c r="CS414" s="86"/>
      <c r="CT414" s="84"/>
      <c r="CW414" s="86"/>
      <c r="CX414" s="84"/>
      <c r="DA414" s="86"/>
      <c r="DB414" s="84"/>
      <c r="DE414" s="86"/>
      <c r="DF414" s="84"/>
      <c r="DI414" s="86"/>
      <c r="DJ414" s="84"/>
      <c r="DM414" s="86"/>
      <c r="DN414" s="84"/>
      <c r="DQ414" s="86"/>
      <c r="DR414" s="85"/>
      <c r="DS414" s="85"/>
      <c r="DT414" s="84"/>
      <c r="DV414" s="84"/>
      <c r="DW414" s="157"/>
      <c r="EB414" s="84"/>
      <c r="EG414" s="84"/>
      <c r="EK414" s="84"/>
      <c r="EO414" s="84"/>
      <c r="ES414" s="84"/>
      <c r="EW414" s="84"/>
    </row>
    <row r="415" customFormat="false" ht="12.75" hidden="false" customHeight="false" outlineLevel="0" collapsed="false">
      <c r="A415" s="37"/>
      <c r="E415" s="83"/>
      <c r="J415" s="84"/>
      <c r="N415" s="84"/>
      <c r="R415" s="84"/>
      <c r="V415" s="84"/>
      <c r="Z415" s="84"/>
      <c r="AD415" s="84"/>
      <c r="AH415" s="84"/>
      <c r="AL415" s="84"/>
      <c r="AP415" s="84"/>
      <c r="AT415" s="84"/>
      <c r="AX415" s="84"/>
      <c r="BB415" s="85"/>
      <c r="BC415" s="84"/>
      <c r="BD415" s="84"/>
      <c r="BF415" s="84"/>
      <c r="BL415" s="84"/>
      <c r="BP415" s="86"/>
      <c r="BV415" s="84"/>
      <c r="CA415" s="84"/>
      <c r="CF415" s="84"/>
      <c r="CK415" s="84"/>
      <c r="CP415" s="84"/>
      <c r="CS415" s="86"/>
      <c r="CT415" s="84"/>
      <c r="CW415" s="86"/>
      <c r="CX415" s="84"/>
      <c r="DA415" s="86"/>
      <c r="DB415" s="84"/>
      <c r="DE415" s="86"/>
      <c r="DF415" s="84"/>
      <c r="DI415" s="86"/>
      <c r="DJ415" s="84"/>
      <c r="DM415" s="86"/>
      <c r="DN415" s="84"/>
      <c r="DQ415" s="86"/>
      <c r="DR415" s="85"/>
      <c r="DS415" s="85"/>
      <c r="DT415" s="84"/>
      <c r="DV415" s="84"/>
      <c r="DW415" s="157"/>
      <c r="EB415" s="84"/>
      <c r="EG415" s="84"/>
      <c r="EK415" s="84"/>
      <c r="EO415" s="84"/>
      <c r="ES415" s="84"/>
      <c r="EW415" s="84"/>
    </row>
    <row r="416" customFormat="false" ht="12.75" hidden="false" customHeight="false" outlineLevel="0" collapsed="false">
      <c r="A416" s="37"/>
      <c r="E416" s="83"/>
      <c r="J416" s="84"/>
      <c r="N416" s="84"/>
      <c r="R416" s="84"/>
      <c r="V416" s="84"/>
      <c r="Z416" s="84"/>
      <c r="AD416" s="84"/>
      <c r="AH416" s="84"/>
      <c r="AL416" s="84"/>
      <c r="AP416" s="84"/>
      <c r="AT416" s="84"/>
      <c r="AX416" s="84"/>
      <c r="BB416" s="85"/>
      <c r="BC416" s="84"/>
      <c r="BD416" s="84"/>
      <c r="BF416" s="84"/>
      <c r="BL416" s="84"/>
      <c r="BP416" s="86"/>
      <c r="BV416" s="84"/>
      <c r="CA416" s="84"/>
      <c r="CF416" s="84"/>
      <c r="CK416" s="84"/>
      <c r="CP416" s="84"/>
      <c r="CS416" s="86"/>
      <c r="CT416" s="84"/>
      <c r="CW416" s="86"/>
      <c r="CX416" s="84"/>
      <c r="DA416" s="86"/>
      <c r="DB416" s="84"/>
      <c r="DE416" s="86"/>
      <c r="DF416" s="84"/>
      <c r="DI416" s="86"/>
      <c r="DJ416" s="84"/>
      <c r="DM416" s="86"/>
      <c r="DN416" s="84"/>
      <c r="DQ416" s="86"/>
      <c r="DR416" s="85"/>
      <c r="DS416" s="85"/>
      <c r="DT416" s="84"/>
      <c r="DV416" s="84"/>
      <c r="DW416" s="157"/>
      <c r="EB416" s="84"/>
      <c r="EG416" s="84"/>
      <c r="EK416" s="84"/>
      <c r="EO416" s="84"/>
      <c r="ES416" s="84"/>
      <c r="EW416" s="84"/>
    </row>
    <row r="417" customFormat="false" ht="12.75" hidden="false" customHeight="false" outlineLevel="0" collapsed="false">
      <c r="A417" s="37"/>
      <c r="E417" s="83"/>
      <c r="J417" s="84"/>
      <c r="N417" s="84"/>
      <c r="R417" s="84"/>
      <c r="V417" s="84"/>
      <c r="Z417" s="84"/>
      <c r="AD417" s="84"/>
      <c r="AH417" s="84"/>
      <c r="AL417" s="84"/>
      <c r="AP417" s="84"/>
      <c r="AT417" s="84"/>
      <c r="AX417" s="84"/>
      <c r="BB417" s="85"/>
      <c r="BC417" s="84"/>
      <c r="BD417" s="84"/>
      <c r="BF417" s="84"/>
      <c r="BL417" s="84"/>
      <c r="BP417" s="86"/>
      <c r="BV417" s="84"/>
      <c r="CA417" s="84"/>
      <c r="CF417" s="84"/>
      <c r="CK417" s="84"/>
      <c r="CP417" s="84"/>
      <c r="CS417" s="86"/>
      <c r="CT417" s="84"/>
      <c r="CW417" s="86"/>
      <c r="CX417" s="84"/>
      <c r="DA417" s="86"/>
      <c r="DB417" s="84"/>
      <c r="DE417" s="86"/>
      <c r="DF417" s="84"/>
      <c r="DI417" s="86"/>
      <c r="DJ417" s="84"/>
      <c r="DM417" s="86"/>
      <c r="DN417" s="84"/>
      <c r="DQ417" s="86"/>
      <c r="DR417" s="85"/>
      <c r="DS417" s="85"/>
      <c r="DT417" s="84"/>
      <c r="DV417" s="84"/>
      <c r="DW417" s="157"/>
      <c r="EB417" s="84"/>
      <c r="EG417" s="84"/>
      <c r="EK417" s="84"/>
      <c r="EO417" s="84"/>
      <c r="ES417" s="84"/>
      <c r="EW417" s="84"/>
    </row>
    <row r="418" customFormat="false" ht="12.75" hidden="false" customHeight="false" outlineLevel="0" collapsed="false">
      <c r="A418" s="37"/>
      <c r="E418" s="83"/>
      <c r="J418" s="84"/>
      <c r="N418" s="84"/>
      <c r="R418" s="84"/>
      <c r="V418" s="84"/>
      <c r="Z418" s="84"/>
      <c r="AD418" s="84"/>
      <c r="AH418" s="84"/>
      <c r="AL418" s="84"/>
      <c r="AP418" s="84"/>
      <c r="AT418" s="84"/>
      <c r="AX418" s="84"/>
      <c r="BB418" s="85"/>
      <c r="BC418" s="84"/>
      <c r="BD418" s="84"/>
      <c r="BF418" s="84"/>
      <c r="BL418" s="84"/>
      <c r="BP418" s="86"/>
      <c r="BV418" s="84"/>
      <c r="CA418" s="84"/>
      <c r="CF418" s="84"/>
      <c r="CK418" s="84"/>
      <c r="CP418" s="84"/>
      <c r="CS418" s="86"/>
      <c r="CT418" s="84"/>
      <c r="CW418" s="86"/>
      <c r="CX418" s="84"/>
      <c r="DA418" s="86"/>
      <c r="DB418" s="84"/>
      <c r="DE418" s="86"/>
      <c r="DF418" s="84"/>
      <c r="DI418" s="86"/>
      <c r="DJ418" s="84"/>
      <c r="DM418" s="86"/>
      <c r="DN418" s="84"/>
      <c r="DQ418" s="86"/>
      <c r="DR418" s="85"/>
      <c r="DS418" s="85"/>
      <c r="DT418" s="84"/>
      <c r="DV418" s="84"/>
      <c r="DW418" s="157"/>
      <c r="EB418" s="84"/>
      <c r="EG418" s="84"/>
      <c r="EK418" s="84"/>
      <c r="EO418" s="84"/>
      <c r="ES418" s="84"/>
      <c r="EW418" s="84"/>
    </row>
    <row r="419" customFormat="false" ht="12.75" hidden="false" customHeight="false" outlineLevel="0" collapsed="false">
      <c r="A419" s="37"/>
      <c r="E419" s="83"/>
      <c r="J419" s="84"/>
      <c r="N419" s="84"/>
      <c r="R419" s="84"/>
      <c r="V419" s="84"/>
      <c r="Z419" s="84"/>
      <c r="AD419" s="84"/>
      <c r="AH419" s="84"/>
      <c r="AL419" s="84"/>
      <c r="AP419" s="84"/>
      <c r="AT419" s="84"/>
      <c r="AX419" s="84"/>
      <c r="BB419" s="85"/>
      <c r="BC419" s="84"/>
      <c r="BD419" s="84"/>
      <c r="BF419" s="84"/>
      <c r="BL419" s="84"/>
      <c r="BP419" s="86"/>
      <c r="BV419" s="84"/>
      <c r="CA419" s="84"/>
      <c r="CF419" s="84"/>
      <c r="CK419" s="84"/>
      <c r="CP419" s="84"/>
      <c r="CS419" s="86"/>
      <c r="CT419" s="84"/>
      <c r="CW419" s="86"/>
      <c r="CX419" s="84"/>
      <c r="DA419" s="86"/>
      <c r="DB419" s="84"/>
      <c r="DE419" s="86"/>
      <c r="DF419" s="84"/>
      <c r="DI419" s="86"/>
      <c r="DJ419" s="84"/>
      <c r="DM419" s="86"/>
      <c r="DN419" s="84"/>
      <c r="DQ419" s="86"/>
      <c r="DR419" s="85"/>
      <c r="DS419" s="85"/>
      <c r="DT419" s="84"/>
      <c r="DV419" s="84"/>
      <c r="DW419" s="157"/>
      <c r="EB419" s="84"/>
      <c r="EG419" s="84"/>
      <c r="EK419" s="84"/>
      <c r="EO419" s="84"/>
      <c r="ES419" s="84"/>
      <c r="EW419" s="84"/>
    </row>
    <row r="420" customFormat="false" ht="12.75" hidden="false" customHeight="false" outlineLevel="0" collapsed="false">
      <c r="A420" s="37"/>
      <c r="E420" s="83"/>
      <c r="J420" s="84"/>
      <c r="N420" s="84"/>
      <c r="R420" s="84"/>
      <c r="V420" s="84"/>
      <c r="Z420" s="84"/>
      <c r="AD420" s="84"/>
      <c r="AH420" s="84"/>
      <c r="AL420" s="84"/>
      <c r="AP420" s="84"/>
      <c r="AT420" s="84"/>
      <c r="AX420" s="84"/>
      <c r="BB420" s="85"/>
      <c r="BC420" s="84"/>
      <c r="BD420" s="84"/>
      <c r="BF420" s="84"/>
      <c r="BL420" s="84"/>
      <c r="BP420" s="86"/>
      <c r="BV420" s="84"/>
      <c r="CA420" s="84"/>
      <c r="CF420" s="84"/>
      <c r="CK420" s="84"/>
      <c r="CP420" s="84"/>
      <c r="CS420" s="86"/>
      <c r="CT420" s="84"/>
      <c r="CW420" s="86"/>
      <c r="CX420" s="84"/>
      <c r="DA420" s="86"/>
      <c r="DB420" s="84"/>
      <c r="DE420" s="86"/>
      <c r="DF420" s="84"/>
      <c r="DI420" s="86"/>
      <c r="DJ420" s="84"/>
      <c r="DM420" s="86"/>
      <c r="DN420" s="84"/>
      <c r="DQ420" s="86"/>
      <c r="DR420" s="85"/>
      <c r="DS420" s="85"/>
      <c r="DT420" s="84"/>
      <c r="DV420" s="84"/>
      <c r="DW420" s="157"/>
      <c r="EB420" s="84"/>
      <c r="EG420" s="84"/>
      <c r="EK420" s="84"/>
      <c r="EO420" s="84"/>
      <c r="ES420" s="84"/>
      <c r="EW420" s="84"/>
    </row>
    <row r="421" customFormat="false" ht="12.75" hidden="false" customHeight="false" outlineLevel="0" collapsed="false">
      <c r="A421" s="37"/>
      <c r="E421" s="83"/>
      <c r="J421" s="84"/>
      <c r="N421" s="84"/>
      <c r="R421" s="84"/>
      <c r="V421" s="84"/>
      <c r="Z421" s="84"/>
      <c r="AD421" s="84"/>
      <c r="AH421" s="84"/>
      <c r="AL421" s="84"/>
      <c r="AP421" s="84"/>
      <c r="AT421" s="84"/>
      <c r="AX421" s="84"/>
      <c r="BB421" s="85"/>
      <c r="BC421" s="84"/>
      <c r="BD421" s="84"/>
      <c r="BF421" s="84"/>
      <c r="BL421" s="84"/>
      <c r="BP421" s="86"/>
      <c r="BV421" s="84"/>
      <c r="CA421" s="84"/>
      <c r="CF421" s="84"/>
      <c r="CK421" s="84"/>
      <c r="CP421" s="84"/>
      <c r="CS421" s="86"/>
      <c r="CT421" s="84"/>
      <c r="CW421" s="86"/>
      <c r="CX421" s="84"/>
      <c r="DA421" s="86"/>
      <c r="DB421" s="84"/>
      <c r="DE421" s="86"/>
      <c r="DF421" s="84"/>
      <c r="DI421" s="86"/>
      <c r="DJ421" s="84"/>
      <c r="DM421" s="86"/>
      <c r="DN421" s="84"/>
      <c r="DQ421" s="86"/>
      <c r="DR421" s="85"/>
      <c r="DS421" s="85"/>
      <c r="DT421" s="84"/>
      <c r="DV421" s="84"/>
      <c r="DW421" s="157"/>
      <c r="EB421" s="84"/>
      <c r="EG421" s="84"/>
      <c r="EK421" s="84"/>
      <c r="EO421" s="84"/>
      <c r="ES421" s="84"/>
      <c r="EW421" s="84"/>
    </row>
    <row r="422" customFormat="false" ht="12.75" hidden="false" customHeight="false" outlineLevel="0" collapsed="false">
      <c r="A422" s="37"/>
      <c r="E422" s="83"/>
      <c r="J422" s="84"/>
      <c r="N422" s="84"/>
      <c r="R422" s="84"/>
      <c r="V422" s="84"/>
      <c r="Z422" s="84"/>
      <c r="AD422" s="84"/>
      <c r="AH422" s="84"/>
      <c r="AL422" s="84"/>
      <c r="AP422" s="84"/>
      <c r="AT422" s="84"/>
      <c r="AX422" s="84"/>
      <c r="BB422" s="85"/>
      <c r="BC422" s="84"/>
      <c r="BD422" s="84"/>
      <c r="BF422" s="84"/>
      <c r="BL422" s="84"/>
      <c r="BP422" s="86"/>
      <c r="BV422" s="84"/>
      <c r="CA422" s="84"/>
      <c r="CF422" s="84"/>
      <c r="CK422" s="84"/>
      <c r="CP422" s="84"/>
      <c r="CS422" s="86"/>
      <c r="CT422" s="84"/>
      <c r="CW422" s="86"/>
      <c r="CX422" s="84"/>
      <c r="DA422" s="86"/>
      <c r="DB422" s="84"/>
      <c r="DE422" s="86"/>
      <c r="DF422" s="84"/>
      <c r="DI422" s="86"/>
      <c r="DJ422" s="84"/>
      <c r="DM422" s="86"/>
      <c r="DN422" s="84"/>
      <c r="DQ422" s="86"/>
      <c r="DR422" s="85"/>
      <c r="DS422" s="85"/>
      <c r="DT422" s="84"/>
      <c r="DV422" s="84"/>
      <c r="DW422" s="157"/>
      <c r="EB422" s="84"/>
      <c r="EG422" s="84"/>
      <c r="EK422" s="84"/>
      <c r="EO422" s="84"/>
      <c r="ES422" s="84"/>
      <c r="EW422" s="84"/>
    </row>
    <row r="423" customFormat="false" ht="12.75" hidden="false" customHeight="false" outlineLevel="0" collapsed="false">
      <c r="A423" s="37"/>
      <c r="E423" s="83"/>
      <c r="J423" s="84"/>
      <c r="N423" s="84"/>
      <c r="R423" s="84"/>
      <c r="V423" s="84"/>
      <c r="Z423" s="84"/>
      <c r="AD423" s="84"/>
      <c r="AH423" s="84"/>
      <c r="AL423" s="84"/>
      <c r="AP423" s="84"/>
      <c r="AT423" s="84"/>
      <c r="AX423" s="84"/>
      <c r="BB423" s="85"/>
      <c r="BC423" s="84"/>
      <c r="BD423" s="84"/>
      <c r="BF423" s="84"/>
      <c r="BL423" s="84"/>
      <c r="BP423" s="86"/>
      <c r="BV423" s="84"/>
      <c r="CA423" s="84"/>
      <c r="CF423" s="84"/>
      <c r="CK423" s="84"/>
      <c r="CP423" s="84"/>
      <c r="CS423" s="86"/>
      <c r="CT423" s="84"/>
      <c r="CW423" s="86"/>
      <c r="CX423" s="84"/>
      <c r="DA423" s="86"/>
      <c r="DB423" s="84"/>
      <c r="DE423" s="86"/>
      <c r="DF423" s="84"/>
      <c r="DI423" s="86"/>
      <c r="DJ423" s="84"/>
      <c r="DM423" s="86"/>
      <c r="DN423" s="84"/>
      <c r="DQ423" s="86"/>
      <c r="DR423" s="85"/>
      <c r="DS423" s="85"/>
      <c r="DT423" s="84"/>
      <c r="DV423" s="84"/>
      <c r="DW423" s="157"/>
      <c r="EB423" s="84"/>
      <c r="EG423" s="84"/>
      <c r="EK423" s="84"/>
      <c r="EO423" s="84"/>
      <c r="ES423" s="84"/>
      <c r="EW423" s="84"/>
    </row>
    <row r="424" customFormat="false" ht="12.75" hidden="false" customHeight="false" outlineLevel="0" collapsed="false">
      <c r="A424" s="37"/>
      <c r="E424" s="83"/>
      <c r="J424" s="84"/>
      <c r="N424" s="84"/>
      <c r="R424" s="84"/>
      <c r="V424" s="84"/>
      <c r="Z424" s="84"/>
      <c r="AD424" s="84"/>
      <c r="AH424" s="84"/>
      <c r="AL424" s="84"/>
      <c r="AP424" s="84"/>
      <c r="AT424" s="84"/>
      <c r="AX424" s="84"/>
      <c r="BB424" s="85"/>
      <c r="BC424" s="84"/>
      <c r="BD424" s="84"/>
      <c r="BF424" s="84"/>
      <c r="BL424" s="84"/>
      <c r="BP424" s="86"/>
      <c r="BV424" s="84"/>
      <c r="CA424" s="84"/>
      <c r="CF424" s="84"/>
      <c r="CK424" s="84"/>
      <c r="CP424" s="84"/>
      <c r="CS424" s="86"/>
      <c r="CT424" s="84"/>
      <c r="CW424" s="86"/>
      <c r="CX424" s="84"/>
      <c r="DA424" s="86"/>
      <c r="DB424" s="84"/>
      <c r="DE424" s="86"/>
      <c r="DF424" s="84"/>
      <c r="DI424" s="86"/>
      <c r="DJ424" s="84"/>
      <c r="DM424" s="86"/>
      <c r="DN424" s="84"/>
      <c r="DQ424" s="86"/>
      <c r="DR424" s="85"/>
      <c r="DS424" s="85"/>
      <c r="DT424" s="84"/>
      <c r="DV424" s="84"/>
      <c r="DW424" s="157"/>
      <c r="EB424" s="84"/>
      <c r="EG424" s="84"/>
      <c r="EK424" s="84"/>
      <c r="EO424" s="84"/>
      <c r="ES424" s="84"/>
      <c r="EW424" s="84"/>
    </row>
    <row r="425" customFormat="false" ht="12.75" hidden="false" customHeight="false" outlineLevel="0" collapsed="false">
      <c r="A425" s="37"/>
      <c r="E425" s="83"/>
      <c r="J425" s="84"/>
      <c r="N425" s="84"/>
      <c r="R425" s="84"/>
      <c r="V425" s="84"/>
      <c r="Z425" s="84"/>
      <c r="AD425" s="84"/>
      <c r="AH425" s="84"/>
      <c r="AL425" s="84"/>
      <c r="AP425" s="84"/>
      <c r="AT425" s="84"/>
      <c r="AX425" s="84"/>
      <c r="BB425" s="85"/>
      <c r="BC425" s="84"/>
      <c r="BD425" s="84"/>
      <c r="BF425" s="84"/>
      <c r="BL425" s="84"/>
      <c r="BP425" s="86"/>
      <c r="BV425" s="84"/>
      <c r="CA425" s="84"/>
      <c r="CF425" s="84"/>
      <c r="CK425" s="84"/>
      <c r="CP425" s="84"/>
      <c r="CS425" s="86"/>
      <c r="CT425" s="84"/>
      <c r="CW425" s="86"/>
      <c r="CX425" s="84"/>
      <c r="DA425" s="86"/>
      <c r="DB425" s="84"/>
      <c r="DE425" s="86"/>
      <c r="DF425" s="84"/>
      <c r="DI425" s="86"/>
      <c r="DJ425" s="84"/>
      <c r="DM425" s="86"/>
      <c r="DN425" s="84"/>
      <c r="DQ425" s="86"/>
      <c r="DR425" s="85"/>
      <c r="DS425" s="85"/>
      <c r="DT425" s="84"/>
      <c r="DV425" s="84"/>
      <c r="DW425" s="157"/>
      <c r="EB425" s="84"/>
      <c r="EG425" s="84"/>
      <c r="EK425" s="84"/>
      <c r="EO425" s="84"/>
      <c r="ES425" s="84"/>
      <c r="EW425" s="84"/>
    </row>
    <row r="426" customFormat="false" ht="12.75" hidden="false" customHeight="false" outlineLevel="0" collapsed="false">
      <c r="A426" s="37"/>
      <c r="E426" s="83"/>
      <c r="J426" s="84"/>
      <c r="N426" s="84"/>
      <c r="R426" s="84"/>
      <c r="V426" s="84"/>
      <c r="Z426" s="84"/>
      <c r="AD426" s="84"/>
      <c r="AH426" s="84"/>
      <c r="AL426" s="84"/>
      <c r="AP426" s="84"/>
      <c r="AT426" s="84"/>
      <c r="AX426" s="84"/>
      <c r="BB426" s="85"/>
      <c r="BC426" s="84"/>
      <c r="BD426" s="84"/>
      <c r="BF426" s="84"/>
      <c r="BL426" s="84"/>
      <c r="BP426" s="86"/>
      <c r="BV426" s="84"/>
      <c r="CA426" s="84"/>
      <c r="CF426" s="84"/>
      <c r="CK426" s="84"/>
      <c r="CP426" s="84"/>
      <c r="CS426" s="86"/>
      <c r="CT426" s="84"/>
      <c r="CW426" s="86"/>
      <c r="CX426" s="84"/>
      <c r="DA426" s="86"/>
      <c r="DB426" s="84"/>
      <c r="DE426" s="86"/>
      <c r="DF426" s="84"/>
      <c r="DI426" s="86"/>
      <c r="DJ426" s="84"/>
      <c r="DM426" s="86"/>
      <c r="DN426" s="84"/>
      <c r="DQ426" s="86"/>
      <c r="DR426" s="85"/>
      <c r="DS426" s="85"/>
      <c r="DT426" s="84"/>
      <c r="DV426" s="84"/>
      <c r="DW426" s="157"/>
      <c r="EB426" s="84"/>
      <c r="EG426" s="84"/>
      <c r="EK426" s="84"/>
      <c r="EO426" s="84"/>
      <c r="ES426" s="84"/>
      <c r="EW426" s="84"/>
    </row>
    <row r="427" customFormat="false" ht="12.75" hidden="false" customHeight="false" outlineLevel="0" collapsed="false">
      <c r="A427" s="37"/>
      <c r="E427" s="83"/>
      <c r="J427" s="84"/>
      <c r="N427" s="84"/>
      <c r="R427" s="84"/>
      <c r="V427" s="84"/>
      <c r="Z427" s="84"/>
      <c r="AD427" s="84"/>
      <c r="AH427" s="84"/>
      <c r="AL427" s="84"/>
      <c r="AP427" s="84"/>
      <c r="AT427" s="84"/>
      <c r="AX427" s="84"/>
      <c r="BB427" s="85"/>
      <c r="BC427" s="84"/>
      <c r="BD427" s="84"/>
      <c r="BF427" s="84"/>
      <c r="BL427" s="84"/>
      <c r="BP427" s="86"/>
      <c r="BV427" s="84"/>
      <c r="CA427" s="84"/>
      <c r="CF427" s="84"/>
      <c r="CK427" s="84"/>
      <c r="CP427" s="84"/>
      <c r="CS427" s="86"/>
      <c r="CT427" s="84"/>
      <c r="CW427" s="86"/>
      <c r="CX427" s="84"/>
      <c r="DA427" s="86"/>
      <c r="DB427" s="84"/>
      <c r="DE427" s="86"/>
      <c r="DF427" s="84"/>
      <c r="DI427" s="86"/>
      <c r="DJ427" s="84"/>
      <c r="DM427" s="86"/>
      <c r="DN427" s="84"/>
      <c r="DQ427" s="86"/>
      <c r="DR427" s="85"/>
      <c r="DS427" s="85"/>
      <c r="DT427" s="84"/>
      <c r="DV427" s="84"/>
      <c r="DW427" s="157"/>
      <c r="EB427" s="84"/>
      <c r="EG427" s="84"/>
      <c r="EK427" s="84"/>
      <c r="EO427" s="84"/>
      <c r="ES427" s="84"/>
      <c r="EW427" s="84"/>
    </row>
    <row r="428" customFormat="false" ht="12.75" hidden="false" customHeight="false" outlineLevel="0" collapsed="false">
      <c r="A428" s="37"/>
      <c r="E428" s="83"/>
      <c r="J428" s="84"/>
      <c r="N428" s="84"/>
      <c r="R428" s="84"/>
      <c r="V428" s="84"/>
      <c r="Z428" s="84"/>
      <c r="AD428" s="84"/>
      <c r="AH428" s="84"/>
      <c r="AL428" s="84"/>
      <c r="AP428" s="84"/>
      <c r="AT428" s="84"/>
      <c r="AX428" s="84"/>
      <c r="BB428" s="85"/>
      <c r="BC428" s="84"/>
      <c r="BD428" s="84"/>
      <c r="BF428" s="84"/>
      <c r="BL428" s="84"/>
      <c r="BP428" s="86"/>
      <c r="BV428" s="84"/>
      <c r="CA428" s="84"/>
      <c r="CF428" s="84"/>
      <c r="CK428" s="84"/>
      <c r="CP428" s="84"/>
      <c r="CS428" s="86"/>
      <c r="CT428" s="84"/>
      <c r="CW428" s="86"/>
      <c r="CX428" s="84"/>
      <c r="DA428" s="86"/>
      <c r="DB428" s="84"/>
      <c r="DE428" s="86"/>
      <c r="DF428" s="84"/>
      <c r="DI428" s="86"/>
      <c r="DJ428" s="84"/>
      <c r="DM428" s="86"/>
      <c r="DN428" s="84"/>
      <c r="DQ428" s="86"/>
      <c r="DR428" s="85"/>
      <c r="DS428" s="85"/>
      <c r="DT428" s="84"/>
      <c r="DV428" s="84"/>
      <c r="DW428" s="157"/>
      <c r="EB428" s="84"/>
      <c r="EG428" s="84"/>
      <c r="EK428" s="84"/>
      <c r="EO428" s="84"/>
      <c r="ES428" s="84"/>
      <c r="EW428" s="84"/>
    </row>
    <row r="429" customFormat="false" ht="12.75" hidden="false" customHeight="false" outlineLevel="0" collapsed="false">
      <c r="A429" s="37"/>
      <c r="E429" s="83"/>
      <c r="J429" s="84"/>
      <c r="N429" s="84"/>
      <c r="R429" s="84"/>
      <c r="V429" s="84"/>
      <c r="Z429" s="84"/>
      <c r="AD429" s="84"/>
      <c r="AH429" s="84"/>
      <c r="AL429" s="84"/>
      <c r="AP429" s="84"/>
      <c r="AT429" s="84"/>
      <c r="AX429" s="84"/>
      <c r="BB429" s="85"/>
      <c r="BC429" s="84"/>
      <c r="BD429" s="84"/>
      <c r="BF429" s="84"/>
      <c r="BL429" s="84"/>
      <c r="BP429" s="86"/>
      <c r="BV429" s="84"/>
      <c r="CA429" s="84"/>
      <c r="CF429" s="84"/>
      <c r="CK429" s="84"/>
      <c r="CP429" s="84"/>
      <c r="CS429" s="86"/>
      <c r="CT429" s="84"/>
      <c r="CW429" s="86"/>
      <c r="CX429" s="84"/>
      <c r="DA429" s="86"/>
      <c r="DB429" s="84"/>
      <c r="DE429" s="86"/>
      <c r="DF429" s="84"/>
      <c r="DI429" s="86"/>
      <c r="DJ429" s="84"/>
      <c r="DM429" s="86"/>
      <c r="DN429" s="84"/>
      <c r="DQ429" s="86"/>
      <c r="DR429" s="85"/>
      <c r="DS429" s="85"/>
      <c r="DT429" s="84"/>
      <c r="DV429" s="84"/>
      <c r="DW429" s="157"/>
      <c r="EB429" s="84"/>
      <c r="EG429" s="84"/>
      <c r="EK429" s="84"/>
      <c r="EO429" s="84"/>
      <c r="ES429" s="84"/>
      <c r="EW429" s="84"/>
    </row>
    <row r="430" customFormat="false" ht="12.75" hidden="false" customHeight="false" outlineLevel="0" collapsed="false">
      <c r="A430" s="37"/>
      <c r="E430" s="83"/>
      <c r="J430" s="84"/>
      <c r="N430" s="84"/>
      <c r="R430" s="84"/>
      <c r="V430" s="84"/>
      <c r="Z430" s="84"/>
      <c r="AD430" s="84"/>
      <c r="AH430" s="84"/>
      <c r="AL430" s="84"/>
      <c r="AP430" s="84"/>
      <c r="AT430" s="84"/>
      <c r="AX430" s="84"/>
      <c r="BB430" s="85"/>
      <c r="BC430" s="84"/>
      <c r="BD430" s="84"/>
      <c r="BF430" s="84"/>
      <c r="BL430" s="84"/>
      <c r="BP430" s="86"/>
      <c r="BV430" s="84"/>
      <c r="CA430" s="84"/>
      <c r="CF430" s="84"/>
      <c r="CK430" s="84"/>
      <c r="CP430" s="84"/>
      <c r="CS430" s="86"/>
      <c r="CT430" s="84"/>
      <c r="CW430" s="86"/>
      <c r="CX430" s="84"/>
      <c r="DA430" s="86"/>
      <c r="DB430" s="84"/>
      <c r="DE430" s="86"/>
      <c r="DF430" s="84"/>
      <c r="DI430" s="86"/>
      <c r="DJ430" s="84"/>
      <c r="DM430" s="86"/>
      <c r="DN430" s="84"/>
      <c r="DQ430" s="86"/>
      <c r="DR430" s="85"/>
      <c r="DS430" s="85"/>
      <c r="DT430" s="84"/>
      <c r="DV430" s="84"/>
      <c r="DW430" s="157"/>
      <c r="EB430" s="84"/>
      <c r="EG430" s="84"/>
      <c r="EK430" s="84"/>
      <c r="EO430" s="84"/>
      <c r="ES430" s="84"/>
      <c r="EW430" s="84"/>
    </row>
    <row r="431" customFormat="false" ht="12.75" hidden="false" customHeight="false" outlineLevel="0" collapsed="false">
      <c r="A431" s="37"/>
      <c r="E431" s="83"/>
      <c r="J431" s="84"/>
      <c r="N431" s="84"/>
      <c r="R431" s="84"/>
      <c r="V431" s="84"/>
      <c r="Z431" s="84"/>
      <c r="AD431" s="84"/>
      <c r="AH431" s="84"/>
      <c r="AL431" s="84"/>
      <c r="AP431" s="84"/>
      <c r="AT431" s="84"/>
      <c r="AX431" s="84"/>
      <c r="BB431" s="85"/>
      <c r="BC431" s="84"/>
      <c r="BD431" s="84"/>
      <c r="BF431" s="84"/>
      <c r="BL431" s="84"/>
      <c r="BP431" s="86"/>
      <c r="BV431" s="84"/>
      <c r="CA431" s="84"/>
      <c r="CF431" s="84"/>
      <c r="CK431" s="84"/>
      <c r="CP431" s="84"/>
      <c r="CS431" s="86"/>
      <c r="CT431" s="84"/>
      <c r="CW431" s="86"/>
      <c r="CX431" s="84"/>
      <c r="DA431" s="86"/>
      <c r="DB431" s="84"/>
      <c r="DE431" s="86"/>
      <c r="DF431" s="84"/>
      <c r="DI431" s="86"/>
      <c r="DJ431" s="84"/>
      <c r="DM431" s="86"/>
      <c r="DN431" s="84"/>
      <c r="DQ431" s="86"/>
      <c r="DR431" s="85"/>
      <c r="DS431" s="85"/>
      <c r="DT431" s="84"/>
      <c r="DV431" s="84"/>
      <c r="DW431" s="157"/>
      <c r="EB431" s="84"/>
      <c r="EG431" s="84"/>
      <c r="EK431" s="84"/>
      <c r="EO431" s="84"/>
      <c r="ES431" s="84"/>
      <c r="EW431" s="84"/>
    </row>
    <row r="432" customFormat="false" ht="12.75" hidden="false" customHeight="false" outlineLevel="0" collapsed="false">
      <c r="A432" s="37"/>
      <c r="E432" s="83"/>
      <c r="J432" s="84"/>
      <c r="N432" s="84"/>
      <c r="R432" s="84"/>
      <c r="V432" s="84"/>
      <c r="Z432" s="84"/>
      <c r="AD432" s="84"/>
      <c r="AH432" s="84"/>
      <c r="AL432" s="84"/>
      <c r="AP432" s="84"/>
      <c r="AT432" s="84"/>
      <c r="AX432" s="84"/>
      <c r="BB432" s="85"/>
      <c r="BC432" s="84"/>
      <c r="BD432" s="84"/>
      <c r="BF432" s="84"/>
      <c r="BL432" s="84"/>
      <c r="BP432" s="86"/>
      <c r="BV432" s="84"/>
      <c r="CA432" s="84"/>
      <c r="CF432" s="84"/>
      <c r="CK432" s="84"/>
      <c r="CP432" s="84"/>
      <c r="CS432" s="86"/>
      <c r="CT432" s="84"/>
      <c r="CW432" s="86"/>
      <c r="CX432" s="84"/>
      <c r="DA432" s="86"/>
      <c r="DB432" s="84"/>
      <c r="DE432" s="86"/>
      <c r="DF432" s="84"/>
      <c r="DI432" s="86"/>
      <c r="DJ432" s="84"/>
      <c r="DM432" s="86"/>
      <c r="DN432" s="84"/>
      <c r="DQ432" s="86"/>
      <c r="DR432" s="85"/>
      <c r="DS432" s="85"/>
      <c r="DT432" s="84"/>
      <c r="DV432" s="84"/>
      <c r="DW432" s="157"/>
      <c r="EB432" s="84"/>
      <c r="EG432" s="84"/>
      <c r="EK432" s="84"/>
      <c r="EO432" s="84"/>
      <c r="ES432" s="84"/>
      <c r="EW432" s="84"/>
    </row>
    <row r="433" customFormat="false" ht="12.75" hidden="false" customHeight="false" outlineLevel="0" collapsed="false">
      <c r="A433" s="37"/>
      <c r="E433" s="83"/>
      <c r="J433" s="84"/>
      <c r="N433" s="84"/>
      <c r="R433" s="84"/>
      <c r="V433" s="84"/>
      <c r="Z433" s="84"/>
      <c r="AD433" s="84"/>
      <c r="AH433" s="84"/>
      <c r="AL433" s="84"/>
      <c r="AP433" s="84"/>
      <c r="AT433" s="84"/>
      <c r="AX433" s="84"/>
      <c r="BB433" s="85"/>
      <c r="BC433" s="84"/>
      <c r="BD433" s="84"/>
      <c r="BF433" s="84"/>
      <c r="BL433" s="84"/>
      <c r="BP433" s="86"/>
      <c r="BV433" s="84"/>
      <c r="CA433" s="84"/>
      <c r="CF433" s="84"/>
      <c r="CK433" s="84"/>
      <c r="CP433" s="84"/>
      <c r="CS433" s="86"/>
      <c r="CT433" s="84"/>
      <c r="CW433" s="86"/>
      <c r="CX433" s="84"/>
      <c r="DA433" s="86"/>
      <c r="DB433" s="84"/>
      <c r="DE433" s="86"/>
      <c r="DF433" s="84"/>
      <c r="DI433" s="86"/>
      <c r="DJ433" s="84"/>
      <c r="DM433" s="86"/>
      <c r="DN433" s="84"/>
      <c r="DQ433" s="86"/>
      <c r="DR433" s="85"/>
      <c r="DS433" s="85"/>
      <c r="DT433" s="84"/>
      <c r="DV433" s="84"/>
      <c r="DW433" s="157"/>
      <c r="EB433" s="84"/>
      <c r="EG433" s="84"/>
      <c r="EK433" s="84"/>
      <c r="EO433" s="84"/>
      <c r="ES433" s="84"/>
      <c r="EW433" s="84"/>
    </row>
    <row r="434" customFormat="false" ht="12.75" hidden="false" customHeight="false" outlineLevel="0" collapsed="false">
      <c r="A434" s="37"/>
      <c r="E434" s="83"/>
      <c r="J434" s="84"/>
      <c r="N434" s="84"/>
      <c r="R434" s="84"/>
      <c r="V434" s="84"/>
      <c r="Z434" s="84"/>
      <c r="AD434" s="84"/>
      <c r="AH434" s="84"/>
      <c r="AL434" s="84"/>
      <c r="AP434" s="84"/>
      <c r="AT434" s="84"/>
      <c r="AX434" s="84"/>
      <c r="BB434" s="85"/>
      <c r="BC434" s="84"/>
      <c r="BD434" s="84"/>
      <c r="BF434" s="84"/>
      <c r="BL434" s="84"/>
      <c r="BP434" s="86"/>
      <c r="BV434" s="84"/>
      <c r="CA434" s="84"/>
      <c r="CF434" s="84"/>
      <c r="CK434" s="84"/>
      <c r="CP434" s="84"/>
      <c r="CS434" s="86"/>
      <c r="CT434" s="84"/>
      <c r="CW434" s="86"/>
      <c r="CX434" s="84"/>
      <c r="DA434" s="86"/>
      <c r="DB434" s="84"/>
      <c r="DE434" s="86"/>
      <c r="DF434" s="84"/>
      <c r="DI434" s="86"/>
      <c r="DJ434" s="84"/>
      <c r="DM434" s="86"/>
      <c r="DN434" s="84"/>
      <c r="DQ434" s="86"/>
      <c r="DR434" s="85"/>
      <c r="DS434" s="85"/>
      <c r="DT434" s="84"/>
      <c r="DV434" s="84"/>
      <c r="DW434" s="157"/>
      <c r="EB434" s="84"/>
      <c r="EG434" s="84"/>
      <c r="EK434" s="84"/>
      <c r="EO434" s="84"/>
      <c r="ES434" s="84"/>
      <c r="EW434" s="84"/>
    </row>
    <row r="435" customFormat="false" ht="12.75" hidden="false" customHeight="false" outlineLevel="0" collapsed="false">
      <c r="A435" s="37"/>
      <c r="E435" s="83"/>
      <c r="J435" s="84"/>
      <c r="N435" s="84"/>
      <c r="R435" s="84"/>
      <c r="V435" s="84"/>
      <c r="Z435" s="84"/>
      <c r="AD435" s="84"/>
      <c r="AH435" s="84"/>
      <c r="AL435" s="84"/>
      <c r="AP435" s="84"/>
      <c r="AT435" s="84"/>
      <c r="AX435" s="84"/>
      <c r="BB435" s="85"/>
      <c r="BC435" s="84"/>
      <c r="BD435" s="84"/>
      <c r="BF435" s="84"/>
      <c r="BL435" s="84"/>
      <c r="BP435" s="86"/>
      <c r="BV435" s="84"/>
      <c r="CA435" s="84"/>
      <c r="CF435" s="84"/>
      <c r="CK435" s="84"/>
      <c r="CP435" s="84"/>
      <c r="CS435" s="86"/>
      <c r="CT435" s="84"/>
      <c r="CW435" s="86"/>
      <c r="CX435" s="84"/>
      <c r="DA435" s="86"/>
      <c r="DB435" s="84"/>
      <c r="DE435" s="86"/>
      <c r="DF435" s="84"/>
      <c r="DI435" s="86"/>
      <c r="DJ435" s="84"/>
      <c r="DM435" s="86"/>
      <c r="DN435" s="84"/>
      <c r="DQ435" s="86"/>
      <c r="DR435" s="85"/>
      <c r="DS435" s="85"/>
      <c r="DT435" s="84"/>
      <c r="DV435" s="84"/>
      <c r="DW435" s="157"/>
      <c r="EB435" s="84"/>
      <c r="EG435" s="84"/>
      <c r="EK435" s="84"/>
      <c r="EO435" s="84"/>
      <c r="ES435" s="84"/>
      <c r="EW435" s="84"/>
    </row>
    <row r="436" customFormat="false" ht="12.75" hidden="false" customHeight="false" outlineLevel="0" collapsed="false">
      <c r="A436" s="37"/>
      <c r="E436" s="83"/>
      <c r="J436" s="84"/>
      <c r="N436" s="84"/>
      <c r="R436" s="84"/>
      <c r="V436" s="84"/>
      <c r="Z436" s="84"/>
      <c r="AD436" s="84"/>
      <c r="AH436" s="84"/>
      <c r="AL436" s="84"/>
      <c r="AP436" s="84"/>
      <c r="AT436" s="84"/>
      <c r="AX436" s="84"/>
      <c r="BB436" s="85"/>
      <c r="BC436" s="84"/>
      <c r="BD436" s="84"/>
      <c r="BF436" s="84"/>
      <c r="BL436" s="84"/>
      <c r="BP436" s="86"/>
      <c r="BV436" s="84"/>
      <c r="CA436" s="84"/>
      <c r="CF436" s="84"/>
      <c r="CK436" s="84"/>
      <c r="CP436" s="84"/>
      <c r="CS436" s="86"/>
      <c r="CT436" s="84"/>
      <c r="CW436" s="86"/>
      <c r="CX436" s="84"/>
      <c r="DA436" s="86"/>
      <c r="DB436" s="84"/>
      <c r="DE436" s="86"/>
      <c r="DF436" s="84"/>
      <c r="DI436" s="86"/>
      <c r="DJ436" s="84"/>
      <c r="DM436" s="86"/>
      <c r="DN436" s="84"/>
      <c r="DQ436" s="86"/>
      <c r="DR436" s="85"/>
      <c r="DS436" s="85"/>
      <c r="DT436" s="84"/>
      <c r="DV436" s="84"/>
      <c r="DW436" s="157"/>
      <c r="EB436" s="84"/>
      <c r="EG436" s="84"/>
      <c r="EK436" s="84"/>
      <c r="EO436" s="84"/>
      <c r="ES436" s="84"/>
      <c r="EW436" s="84"/>
    </row>
    <row r="437" customFormat="false" ht="12.75" hidden="false" customHeight="false" outlineLevel="0" collapsed="false">
      <c r="A437" s="37"/>
      <c r="E437" s="83"/>
      <c r="J437" s="84"/>
      <c r="N437" s="84"/>
      <c r="R437" s="84"/>
      <c r="V437" s="84"/>
      <c r="Z437" s="84"/>
      <c r="AD437" s="84"/>
      <c r="AH437" s="84"/>
      <c r="AL437" s="84"/>
      <c r="AP437" s="84"/>
      <c r="AT437" s="84"/>
      <c r="AX437" s="84"/>
      <c r="BB437" s="85"/>
      <c r="BC437" s="84"/>
      <c r="BD437" s="84"/>
      <c r="BF437" s="84"/>
      <c r="BL437" s="84"/>
      <c r="BP437" s="86"/>
      <c r="BV437" s="84"/>
      <c r="CA437" s="84"/>
      <c r="CF437" s="84"/>
      <c r="CK437" s="84"/>
      <c r="CP437" s="84"/>
      <c r="CS437" s="86"/>
      <c r="CT437" s="84"/>
      <c r="CW437" s="86"/>
      <c r="CX437" s="84"/>
      <c r="DA437" s="86"/>
      <c r="DB437" s="84"/>
      <c r="DE437" s="86"/>
      <c r="DF437" s="84"/>
      <c r="DI437" s="86"/>
      <c r="DJ437" s="84"/>
      <c r="DM437" s="86"/>
      <c r="DN437" s="84"/>
      <c r="DQ437" s="86"/>
      <c r="DR437" s="85"/>
      <c r="DS437" s="85"/>
      <c r="DT437" s="84"/>
      <c r="DV437" s="84"/>
      <c r="DW437" s="157"/>
      <c r="EB437" s="84"/>
      <c r="EG437" s="84"/>
      <c r="EK437" s="84"/>
      <c r="EO437" s="84"/>
      <c r="ES437" s="84"/>
      <c r="EW437" s="84"/>
    </row>
    <row r="438" customFormat="false" ht="12.75" hidden="false" customHeight="false" outlineLevel="0" collapsed="false">
      <c r="A438" s="37"/>
      <c r="E438" s="83"/>
      <c r="J438" s="84"/>
      <c r="N438" s="84"/>
      <c r="R438" s="84"/>
      <c r="V438" s="84"/>
      <c r="Z438" s="84"/>
      <c r="AD438" s="84"/>
      <c r="AH438" s="84"/>
      <c r="AL438" s="84"/>
      <c r="AP438" s="84"/>
      <c r="AT438" s="84"/>
      <c r="AX438" s="84"/>
      <c r="BB438" s="85"/>
      <c r="BC438" s="84"/>
      <c r="BD438" s="84"/>
      <c r="BF438" s="84"/>
      <c r="BL438" s="84"/>
      <c r="BP438" s="86"/>
      <c r="BV438" s="84"/>
      <c r="CA438" s="84"/>
      <c r="CF438" s="84"/>
      <c r="CK438" s="84"/>
      <c r="CP438" s="84"/>
      <c r="CS438" s="86"/>
      <c r="CT438" s="84"/>
      <c r="CW438" s="86"/>
      <c r="CX438" s="84"/>
      <c r="DA438" s="86"/>
      <c r="DB438" s="84"/>
      <c r="DE438" s="86"/>
      <c r="DF438" s="84"/>
      <c r="DI438" s="86"/>
      <c r="DJ438" s="84"/>
      <c r="DM438" s="86"/>
      <c r="DN438" s="84"/>
      <c r="DQ438" s="86"/>
      <c r="DR438" s="85"/>
      <c r="DS438" s="85"/>
      <c r="DT438" s="84"/>
      <c r="DV438" s="84"/>
      <c r="DW438" s="157"/>
      <c r="EB438" s="84"/>
      <c r="EG438" s="84"/>
      <c r="EK438" s="84"/>
      <c r="EO438" s="84"/>
      <c r="ES438" s="84"/>
      <c r="EW438" s="84"/>
    </row>
    <row r="439" customFormat="false" ht="12.75" hidden="false" customHeight="false" outlineLevel="0" collapsed="false">
      <c r="A439" s="37"/>
      <c r="E439" s="83"/>
      <c r="J439" s="84"/>
      <c r="N439" s="84"/>
      <c r="R439" s="84"/>
      <c r="V439" s="84"/>
      <c r="Z439" s="84"/>
      <c r="AD439" s="84"/>
      <c r="AH439" s="84"/>
      <c r="AL439" s="84"/>
      <c r="AP439" s="84"/>
      <c r="AT439" s="84"/>
      <c r="AX439" s="84"/>
      <c r="BB439" s="85"/>
      <c r="BC439" s="84"/>
      <c r="BD439" s="84"/>
      <c r="BF439" s="84"/>
      <c r="BL439" s="84"/>
      <c r="BP439" s="86"/>
      <c r="BV439" s="84"/>
      <c r="CA439" s="84"/>
      <c r="CF439" s="84"/>
      <c r="CK439" s="84"/>
      <c r="CP439" s="84"/>
      <c r="CS439" s="86"/>
      <c r="CT439" s="84"/>
      <c r="CW439" s="86"/>
      <c r="CX439" s="84"/>
      <c r="DA439" s="86"/>
      <c r="DB439" s="84"/>
      <c r="DE439" s="86"/>
      <c r="DF439" s="84"/>
      <c r="DI439" s="86"/>
      <c r="DJ439" s="84"/>
      <c r="DM439" s="86"/>
      <c r="DN439" s="84"/>
      <c r="DQ439" s="86"/>
      <c r="DR439" s="85"/>
      <c r="DS439" s="85"/>
      <c r="DT439" s="84"/>
      <c r="DV439" s="84"/>
      <c r="DW439" s="157"/>
      <c r="EB439" s="84"/>
      <c r="EG439" s="84"/>
      <c r="EK439" s="84"/>
      <c r="EO439" s="84"/>
      <c r="ES439" s="84"/>
      <c r="EW439" s="84"/>
    </row>
    <row r="440" customFormat="false" ht="12.75" hidden="false" customHeight="false" outlineLevel="0" collapsed="false">
      <c r="A440" s="37"/>
      <c r="E440" s="83"/>
      <c r="J440" s="84"/>
      <c r="N440" s="84"/>
      <c r="R440" s="84"/>
      <c r="V440" s="84"/>
      <c r="Z440" s="84"/>
      <c r="AD440" s="84"/>
      <c r="AH440" s="84"/>
      <c r="AL440" s="84"/>
      <c r="AP440" s="84"/>
      <c r="AT440" s="84"/>
      <c r="AX440" s="84"/>
      <c r="BB440" s="85"/>
      <c r="BC440" s="84"/>
      <c r="BD440" s="84"/>
      <c r="BF440" s="84"/>
      <c r="BL440" s="84"/>
      <c r="BP440" s="86"/>
      <c r="BV440" s="84"/>
      <c r="CA440" s="84"/>
      <c r="CF440" s="84"/>
      <c r="CK440" s="84"/>
      <c r="CP440" s="84"/>
      <c r="CS440" s="86"/>
      <c r="CT440" s="84"/>
      <c r="CW440" s="86"/>
      <c r="CX440" s="84"/>
      <c r="DA440" s="86"/>
      <c r="DB440" s="84"/>
      <c r="DE440" s="86"/>
      <c r="DF440" s="84"/>
      <c r="DI440" s="86"/>
      <c r="DJ440" s="84"/>
      <c r="DM440" s="86"/>
      <c r="DN440" s="84"/>
      <c r="DQ440" s="86"/>
      <c r="DR440" s="85"/>
      <c r="DS440" s="85"/>
      <c r="DT440" s="84"/>
      <c r="DV440" s="84"/>
      <c r="DW440" s="157"/>
      <c r="EB440" s="84"/>
      <c r="EG440" s="84"/>
      <c r="EK440" s="84"/>
      <c r="EO440" s="84"/>
      <c r="ES440" s="84"/>
      <c r="EW440" s="84"/>
    </row>
    <row r="441" customFormat="false" ht="12.75" hidden="false" customHeight="false" outlineLevel="0" collapsed="false">
      <c r="A441" s="37"/>
      <c r="E441" s="83"/>
      <c r="J441" s="84"/>
      <c r="N441" s="84"/>
      <c r="R441" s="84"/>
      <c r="V441" s="84"/>
      <c r="Z441" s="84"/>
      <c r="AD441" s="84"/>
      <c r="AH441" s="84"/>
      <c r="AL441" s="84"/>
      <c r="AP441" s="84"/>
      <c r="AT441" s="84"/>
      <c r="AX441" s="84"/>
      <c r="BB441" s="85"/>
      <c r="BC441" s="84"/>
      <c r="BD441" s="84"/>
      <c r="BF441" s="84"/>
      <c r="BL441" s="84"/>
      <c r="BP441" s="86"/>
      <c r="BV441" s="84"/>
      <c r="CA441" s="84"/>
      <c r="CF441" s="84"/>
      <c r="CK441" s="84"/>
      <c r="CP441" s="84"/>
      <c r="CS441" s="86"/>
      <c r="CT441" s="84"/>
      <c r="CW441" s="86"/>
      <c r="CX441" s="84"/>
      <c r="DA441" s="86"/>
      <c r="DB441" s="84"/>
      <c r="DE441" s="86"/>
      <c r="DF441" s="84"/>
      <c r="DI441" s="86"/>
      <c r="DJ441" s="84"/>
      <c r="DM441" s="86"/>
      <c r="DN441" s="84"/>
      <c r="DQ441" s="86"/>
      <c r="DR441" s="85"/>
      <c r="DS441" s="85"/>
      <c r="DT441" s="84"/>
      <c r="DV441" s="84"/>
      <c r="DW441" s="157"/>
      <c r="EB441" s="84"/>
      <c r="EG441" s="84"/>
      <c r="EK441" s="84"/>
      <c r="EO441" s="84"/>
      <c r="ES441" s="84"/>
      <c r="EW441" s="84"/>
    </row>
    <row r="442" customFormat="false" ht="12.75" hidden="false" customHeight="false" outlineLevel="0" collapsed="false">
      <c r="A442" s="37"/>
      <c r="E442" s="83"/>
      <c r="J442" s="84"/>
      <c r="N442" s="84"/>
      <c r="R442" s="84"/>
      <c r="V442" s="84"/>
      <c r="Z442" s="84"/>
      <c r="AD442" s="84"/>
      <c r="AH442" s="84"/>
      <c r="AL442" s="84"/>
      <c r="AP442" s="84"/>
      <c r="AT442" s="84"/>
      <c r="AX442" s="84"/>
      <c r="BB442" s="85"/>
      <c r="BC442" s="84"/>
      <c r="BD442" s="84"/>
      <c r="BF442" s="84"/>
      <c r="BL442" s="84"/>
      <c r="BP442" s="86"/>
      <c r="BV442" s="84"/>
      <c r="CA442" s="84"/>
      <c r="CF442" s="84"/>
      <c r="CK442" s="84"/>
      <c r="CP442" s="84"/>
      <c r="CS442" s="86"/>
      <c r="CT442" s="84"/>
      <c r="CW442" s="86"/>
      <c r="CX442" s="84"/>
      <c r="DA442" s="86"/>
      <c r="DB442" s="84"/>
      <c r="DE442" s="86"/>
      <c r="DF442" s="84"/>
      <c r="DI442" s="86"/>
      <c r="DJ442" s="84"/>
      <c r="DM442" s="86"/>
      <c r="DN442" s="84"/>
      <c r="DQ442" s="86"/>
      <c r="DR442" s="85"/>
      <c r="DS442" s="85"/>
      <c r="DT442" s="84"/>
      <c r="DV442" s="84"/>
      <c r="DW442" s="157"/>
      <c r="EB442" s="84"/>
      <c r="EG442" s="84"/>
      <c r="EK442" s="84"/>
      <c r="EO442" s="84"/>
      <c r="ES442" s="84"/>
      <c r="EW442" s="84"/>
    </row>
    <row r="443" customFormat="false" ht="12.75" hidden="false" customHeight="false" outlineLevel="0" collapsed="false">
      <c r="A443" s="37"/>
      <c r="E443" s="83"/>
      <c r="J443" s="84"/>
      <c r="N443" s="84"/>
      <c r="R443" s="84"/>
      <c r="V443" s="84"/>
      <c r="Z443" s="84"/>
      <c r="AD443" s="84"/>
      <c r="AH443" s="84"/>
      <c r="AL443" s="84"/>
      <c r="AP443" s="84"/>
      <c r="AT443" s="84"/>
      <c r="AX443" s="84"/>
      <c r="BB443" s="85"/>
      <c r="BC443" s="84"/>
      <c r="BD443" s="84"/>
      <c r="BF443" s="84"/>
      <c r="BL443" s="84"/>
      <c r="BP443" s="86"/>
      <c r="BV443" s="84"/>
      <c r="CA443" s="84"/>
      <c r="CF443" s="84"/>
      <c r="CK443" s="84"/>
      <c r="CP443" s="84"/>
      <c r="CS443" s="86"/>
      <c r="CT443" s="84"/>
      <c r="CW443" s="86"/>
      <c r="CX443" s="84"/>
      <c r="DA443" s="86"/>
      <c r="DB443" s="84"/>
      <c r="DE443" s="86"/>
      <c r="DF443" s="84"/>
      <c r="DI443" s="86"/>
      <c r="DJ443" s="84"/>
      <c r="DM443" s="86"/>
      <c r="DN443" s="84"/>
      <c r="DQ443" s="86"/>
      <c r="DR443" s="85"/>
      <c r="DS443" s="85"/>
      <c r="DT443" s="84"/>
      <c r="DV443" s="84"/>
      <c r="DW443" s="157"/>
      <c r="EB443" s="84"/>
      <c r="EG443" s="84"/>
      <c r="EK443" s="84"/>
      <c r="EO443" s="84"/>
      <c r="ES443" s="84"/>
      <c r="EW443" s="84"/>
    </row>
    <row r="444" customFormat="false" ht="12.75" hidden="false" customHeight="false" outlineLevel="0" collapsed="false">
      <c r="A444" s="37"/>
      <c r="E444" s="83"/>
      <c r="J444" s="84"/>
      <c r="N444" s="84"/>
      <c r="R444" s="84"/>
      <c r="V444" s="84"/>
      <c r="Z444" s="84"/>
      <c r="AD444" s="84"/>
      <c r="AH444" s="84"/>
      <c r="AL444" s="84"/>
      <c r="AP444" s="84"/>
      <c r="AT444" s="84"/>
      <c r="AX444" s="84"/>
      <c r="BB444" s="85"/>
      <c r="BC444" s="84"/>
      <c r="BD444" s="84"/>
      <c r="BF444" s="84"/>
      <c r="BL444" s="84"/>
      <c r="BP444" s="86"/>
      <c r="BV444" s="84"/>
      <c r="CA444" s="84"/>
      <c r="CF444" s="84"/>
      <c r="CK444" s="84"/>
      <c r="CP444" s="84"/>
      <c r="CS444" s="86"/>
      <c r="CT444" s="84"/>
      <c r="CW444" s="86"/>
      <c r="CX444" s="84"/>
      <c r="DA444" s="86"/>
      <c r="DB444" s="84"/>
      <c r="DE444" s="86"/>
      <c r="DF444" s="84"/>
      <c r="DI444" s="86"/>
      <c r="DJ444" s="84"/>
      <c r="DM444" s="86"/>
      <c r="DN444" s="84"/>
      <c r="DQ444" s="86"/>
      <c r="DR444" s="85"/>
      <c r="DS444" s="85"/>
      <c r="DT444" s="84"/>
      <c r="DV444" s="84"/>
      <c r="DW444" s="157"/>
      <c r="EB444" s="84"/>
      <c r="EG444" s="84"/>
      <c r="EK444" s="84"/>
      <c r="EO444" s="84"/>
      <c r="ES444" s="84"/>
      <c r="EW444" s="84"/>
    </row>
    <row r="445" customFormat="false" ht="12.75" hidden="false" customHeight="false" outlineLevel="0" collapsed="false">
      <c r="A445" s="37"/>
      <c r="E445" s="83"/>
      <c r="J445" s="84"/>
      <c r="N445" s="84"/>
      <c r="R445" s="84"/>
      <c r="V445" s="84"/>
      <c r="Z445" s="84"/>
      <c r="AD445" s="84"/>
      <c r="AH445" s="84"/>
      <c r="AL445" s="84"/>
      <c r="AP445" s="84"/>
      <c r="AT445" s="84"/>
      <c r="AX445" s="84"/>
      <c r="BB445" s="85"/>
      <c r="BC445" s="84"/>
      <c r="BD445" s="84"/>
      <c r="BF445" s="84"/>
      <c r="BL445" s="84"/>
      <c r="BP445" s="86"/>
      <c r="BV445" s="84"/>
      <c r="CA445" s="84"/>
      <c r="CF445" s="84"/>
      <c r="CK445" s="84"/>
      <c r="CP445" s="84"/>
      <c r="CS445" s="86"/>
      <c r="CT445" s="84"/>
      <c r="CW445" s="86"/>
      <c r="CX445" s="84"/>
      <c r="DA445" s="86"/>
      <c r="DB445" s="84"/>
      <c r="DE445" s="86"/>
      <c r="DF445" s="84"/>
      <c r="DI445" s="86"/>
      <c r="DJ445" s="84"/>
      <c r="DM445" s="86"/>
      <c r="DN445" s="84"/>
      <c r="DQ445" s="86"/>
      <c r="DR445" s="85"/>
      <c r="DS445" s="85"/>
      <c r="DT445" s="84"/>
      <c r="DV445" s="84"/>
      <c r="DW445" s="157"/>
      <c r="EB445" s="84"/>
      <c r="EG445" s="84"/>
      <c r="EK445" s="84"/>
      <c r="EO445" s="84"/>
      <c r="ES445" s="84"/>
      <c r="EW445" s="84"/>
    </row>
    <row r="446" customFormat="false" ht="12.75" hidden="false" customHeight="false" outlineLevel="0" collapsed="false">
      <c r="A446" s="37"/>
      <c r="E446" s="83"/>
      <c r="J446" s="84"/>
      <c r="N446" s="84"/>
      <c r="R446" s="84"/>
      <c r="V446" s="84"/>
      <c r="Z446" s="84"/>
      <c r="AD446" s="84"/>
      <c r="AH446" s="84"/>
      <c r="AL446" s="84"/>
      <c r="AP446" s="84"/>
      <c r="AT446" s="84"/>
      <c r="AX446" s="84"/>
      <c r="BB446" s="85"/>
      <c r="BC446" s="84"/>
      <c r="BD446" s="84"/>
      <c r="BF446" s="84"/>
      <c r="BL446" s="84"/>
      <c r="BP446" s="86"/>
      <c r="BV446" s="84"/>
      <c r="CA446" s="84"/>
      <c r="CF446" s="84"/>
      <c r="CK446" s="84"/>
      <c r="CP446" s="84"/>
      <c r="CS446" s="86"/>
      <c r="CT446" s="84"/>
      <c r="CW446" s="86"/>
      <c r="CX446" s="84"/>
      <c r="DA446" s="86"/>
      <c r="DB446" s="84"/>
      <c r="DE446" s="86"/>
      <c r="DF446" s="84"/>
      <c r="DI446" s="86"/>
      <c r="DJ446" s="84"/>
      <c r="DM446" s="86"/>
      <c r="DN446" s="84"/>
      <c r="DQ446" s="86"/>
      <c r="DR446" s="85"/>
      <c r="DS446" s="85"/>
      <c r="DT446" s="84"/>
      <c r="DV446" s="84"/>
      <c r="DW446" s="157"/>
      <c r="EB446" s="84"/>
      <c r="EG446" s="84"/>
      <c r="EK446" s="84"/>
      <c r="EO446" s="84"/>
      <c r="ES446" s="84"/>
      <c r="EW446" s="84"/>
    </row>
    <row r="447" customFormat="false" ht="12.75" hidden="false" customHeight="false" outlineLevel="0" collapsed="false">
      <c r="A447" s="37"/>
      <c r="E447" s="83"/>
      <c r="J447" s="84"/>
      <c r="N447" s="84"/>
      <c r="R447" s="84"/>
      <c r="V447" s="84"/>
      <c r="Z447" s="84"/>
      <c r="AD447" s="84"/>
      <c r="AH447" s="84"/>
      <c r="AL447" s="84"/>
      <c r="AP447" s="84"/>
      <c r="AT447" s="84"/>
      <c r="AX447" s="84"/>
      <c r="BB447" s="85"/>
      <c r="BC447" s="84"/>
      <c r="BD447" s="84"/>
      <c r="BF447" s="84"/>
      <c r="BL447" s="84"/>
      <c r="BP447" s="86"/>
      <c r="BV447" s="84"/>
      <c r="CA447" s="84"/>
      <c r="CF447" s="84"/>
      <c r="CK447" s="84"/>
      <c r="CP447" s="84"/>
      <c r="CS447" s="86"/>
      <c r="CT447" s="84"/>
      <c r="CW447" s="86"/>
      <c r="CX447" s="84"/>
      <c r="DA447" s="86"/>
      <c r="DB447" s="84"/>
      <c r="DE447" s="86"/>
      <c r="DF447" s="84"/>
      <c r="DI447" s="86"/>
      <c r="DJ447" s="84"/>
      <c r="DM447" s="86"/>
      <c r="DN447" s="84"/>
      <c r="DQ447" s="86"/>
      <c r="DR447" s="85"/>
      <c r="DS447" s="85"/>
      <c r="DT447" s="84"/>
      <c r="DV447" s="84"/>
      <c r="DW447" s="157"/>
      <c r="EB447" s="84"/>
      <c r="EG447" s="84"/>
      <c r="EK447" s="84"/>
      <c r="EO447" s="84"/>
      <c r="ES447" s="84"/>
      <c r="EW447" s="84"/>
    </row>
    <row r="448" customFormat="false" ht="12.75" hidden="false" customHeight="false" outlineLevel="0" collapsed="false">
      <c r="A448" s="37"/>
      <c r="E448" s="83"/>
      <c r="J448" s="84"/>
      <c r="N448" s="84"/>
      <c r="R448" s="84"/>
      <c r="V448" s="84"/>
      <c r="Z448" s="84"/>
      <c r="AD448" s="84"/>
      <c r="AH448" s="84"/>
      <c r="AL448" s="84"/>
      <c r="AP448" s="84"/>
      <c r="AT448" s="84"/>
      <c r="AX448" s="84"/>
      <c r="BB448" s="85"/>
      <c r="BC448" s="84"/>
      <c r="BD448" s="84"/>
      <c r="BF448" s="84"/>
      <c r="BL448" s="84"/>
      <c r="BP448" s="86"/>
      <c r="BV448" s="84"/>
      <c r="CA448" s="84"/>
      <c r="CF448" s="84"/>
      <c r="CK448" s="84"/>
      <c r="CP448" s="84"/>
      <c r="CS448" s="86"/>
      <c r="CT448" s="84"/>
      <c r="CW448" s="86"/>
      <c r="CX448" s="84"/>
      <c r="DA448" s="86"/>
      <c r="DB448" s="84"/>
      <c r="DE448" s="86"/>
      <c r="DF448" s="84"/>
      <c r="DI448" s="86"/>
      <c r="DJ448" s="84"/>
      <c r="DM448" s="86"/>
      <c r="DN448" s="84"/>
      <c r="DQ448" s="86"/>
      <c r="DR448" s="85"/>
      <c r="DS448" s="85"/>
      <c r="DT448" s="84"/>
      <c r="DV448" s="84"/>
      <c r="DW448" s="157"/>
      <c r="EB448" s="84"/>
      <c r="EG448" s="84"/>
      <c r="EK448" s="84"/>
      <c r="EO448" s="84"/>
      <c r="ES448" s="84"/>
      <c r="EW448" s="84"/>
    </row>
    <row r="449" customFormat="false" ht="12.75" hidden="false" customHeight="false" outlineLevel="0" collapsed="false">
      <c r="A449" s="37"/>
      <c r="E449" s="83"/>
      <c r="J449" s="84"/>
      <c r="N449" s="84"/>
      <c r="R449" s="84"/>
      <c r="V449" s="84"/>
      <c r="Z449" s="84"/>
      <c r="AD449" s="84"/>
      <c r="AH449" s="84"/>
      <c r="AL449" s="84"/>
      <c r="AP449" s="84"/>
      <c r="AT449" s="84"/>
      <c r="AX449" s="84"/>
      <c r="BB449" s="85"/>
      <c r="BC449" s="84"/>
      <c r="BD449" s="84"/>
      <c r="BF449" s="84"/>
      <c r="BL449" s="84"/>
      <c r="BP449" s="86"/>
      <c r="BV449" s="84"/>
      <c r="CA449" s="84"/>
      <c r="CF449" s="84"/>
      <c r="CK449" s="84"/>
      <c r="CP449" s="84"/>
      <c r="CS449" s="86"/>
      <c r="CT449" s="84"/>
      <c r="CW449" s="86"/>
      <c r="CX449" s="84"/>
      <c r="DA449" s="86"/>
      <c r="DB449" s="84"/>
      <c r="DE449" s="86"/>
      <c r="DF449" s="84"/>
      <c r="DI449" s="86"/>
      <c r="DJ449" s="84"/>
      <c r="DM449" s="86"/>
      <c r="DN449" s="84"/>
      <c r="DQ449" s="86"/>
      <c r="DR449" s="85"/>
      <c r="DS449" s="85"/>
      <c r="DT449" s="84"/>
      <c r="DV449" s="84"/>
      <c r="DW449" s="157"/>
      <c r="EB449" s="84"/>
      <c r="EG449" s="84"/>
      <c r="EK449" s="84"/>
      <c r="EO449" s="84"/>
      <c r="ES449" s="84"/>
      <c r="EW449" s="84"/>
    </row>
    <row r="450" customFormat="false" ht="12.75" hidden="false" customHeight="false" outlineLevel="0" collapsed="false">
      <c r="A450" s="37"/>
      <c r="E450" s="83"/>
      <c r="J450" s="84"/>
      <c r="N450" s="84"/>
      <c r="R450" s="84"/>
      <c r="V450" s="84"/>
      <c r="Z450" s="84"/>
      <c r="AD450" s="84"/>
      <c r="AH450" s="84"/>
      <c r="AL450" s="84"/>
      <c r="AP450" s="84"/>
      <c r="AT450" s="84"/>
      <c r="AX450" s="84"/>
      <c r="BB450" s="85"/>
      <c r="BC450" s="84"/>
      <c r="BD450" s="84"/>
      <c r="BF450" s="84"/>
      <c r="BL450" s="84"/>
      <c r="BP450" s="86"/>
      <c r="BV450" s="84"/>
      <c r="CA450" s="84"/>
      <c r="CF450" s="84"/>
      <c r="CK450" s="84"/>
      <c r="CP450" s="84"/>
      <c r="CS450" s="86"/>
      <c r="CT450" s="84"/>
      <c r="CW450" s="86"/>
      <c r="CX450" s="84"/>
      <c r="DA450" s="86"/>
      <c r="DB450" s="84"/>
      <c r="DE450" s="86"/>
      <c r="DF450" s="84"/>
      <c r="DI450" s="86"/>
      <c r="DJ450" s="84"/>
      <c r="DM450" s="86"/>
      <c r="DN450" s="84"/>
      <c r="DQ450" s="86"/>
      <c r="DR450" s="85"/>
      <c r="DS450" s="85"/>
      <c r="DT450" s="84"/>
      <c r="DV450" s="84"/>
      <c r="DW450" s="157"/>
      <c r="EB450" s="84"/>
      <c r="EG450" s="84"/>
      <c r="EK450" s="84"/>
      <c r="EO450" s="84"/>
      <c r="ES450" s="84"/>
      <c r="EW450" s="84"/>
    </row>
    <row r="451" customFormat="false" ht="12.75" hidden="false" customHeight="false" outlineLevel="0" collapsed="false">
      <c r="A451" s="37"/>
      <c r="E451" s="83"/>
      <c r="J451" s="84"/>
      <c r="N451" s="84"/>
      <c r="R451" s="84"/>
      <c r="V451" s="84"/>
      <c r="Z451" s="84"/>
      <c r="AD451" s="84"/>
      <c r="AH451" s="84"/>
      <c r="AL451" s="84"/>
      <c r="AP451" s="84"/>
      <c r="AT451" s="84"/>
      <c r="AX451" s="84"/>
      <c r="BB451" s="85"/>
      <c r="BC451" s="84"/>
      <c r="BD451" s="84"/>
      <c r="BF451" s="84"/>
      <c r="BL451" s="84"/>
      <c r="BP451" s="86"/>
      <c r="BV451" s="84"/>
      <c r="CA451" s="84"/>
      <c r="CF451" s="84"/>
      <c r="CK451" s="84"/>
      <c r="CP451" s="84"/>
      <c r="CS451" s="86"/>
      <c r="CT451" s="84"/>
      <c r="CW451" s="86"/>
      <c r="CX451" s="84"/>
      <c r="DA451" s="86"/>
      <c r="DB451" s="84"/>
      <c r="DE451" s="86"/>
      <c r="DF451" s="84"/>
      <c r="DI451" s="86"/>
      <c r="DJ451" s="84"/>
      <c r="DM451" s="86"/>
      <c r="DN451" s="84"/>
      <c r="DQ451" s="86"/>
      <c r="DR451" s="85"/>
      <c r="DS451" s="85"/>
      <c r="DT451" s="84"/>
      <c r="DV451" s="84"/>
      <c r="DW451" s="157"/>
      <c r="EB451" s="84"/>
      <c r="EG451" s="84"/>
      <c r="EK451" s="84"/>
      <c r="EO451" s="84"/>
      <c r="ES451" s="84"/>
      <c r="EW451" s="84"/>
    </row>
    <row r="452" customFormat="false" ht="12.75" hidden="false" customHeight="false" outlineLevel="0" collapsed="false">
      <c r="A452" s="37"/>
      <c r="E452" s="83"/>
      <c r="J452" s="84"/>
      <c r="N452" s="84"/>
      <c r="R452" s="84"/>
      <c r="V452" s="84"/>
      <c r="Z452" s="84"/>
      <c r="AD452" s="84"/>
      <c r="AH452" s="84"/>
      <c r="AL452" s="84"/>
      <c r="AP452" s="84"/>
      <c r="AT452" s="84"/>
      <c r="AX452" s="84"/>
      <c r="BB452" s="85"/>
      <c r="BC452" s="84"/>
      <c r="BD452" s="84"/>
      <c r="BF452" s="84"/>
      <c r="BL452" s="84"/>
      <c r="BP452" s="86"/>
      <c r="BV452" s="84"/>
      <c r="CA452" s="84"/>
      <c r="CF452" s="84"/>
      <c r="CK452" s="84"/>
      <c r="CP452" s="84"/>
      <c r="CS452" s="86"/>
      <c r="CT452" s="84"/>
      <c r="CW452" s="86"/>
      <c r="CX452" s="84"/>
      <c r="DA452" s="86"/>
      <c r="DB452" s="84"/>
      <c r="DE452" s="86"/>
      <c r="DF452" s="84"/>
      <c r="DI452" s="86"/>
      <c r="DJ452" s="84"/>
      <c r="DM452" s="86"/>
      <c r="DN452" s="84"/>
      <c r="DQ452" s="86"/>
      <c r="DR452" s="85"/>
      <c r="DS452" s="85"/>
      <c r="DT452" s="84"/>
      <c r="DV452" s="84"/>
      <c r="DW452" s="157"/>
      <c r="EB452" s="84"/>
      <c r="EG452" s="84"/>
      <c r="EK452" s="84"/>
      <c r="EO452" s="84"/>
      <c r="ES452" s="84"/>
      <c r="EW452" s="84"/>
    </row>
    <row r="453" customFormat="false" ht="12.75" hidden="false" customHeight="false" outlineLevel="0" collapsed="false">
      <c r="A453" s="37"/>
      <c r="E453" s="83"/>
      <c r="J453" s="84"/>
      <c r="N453" s="84"/>
      <c r="R453" s="84"/>
      <c r="V453" s="84"/>
      <c r="Z453" s="84"/>
      <c r="AD453" s="84"/>
      <c r="AH453" s="84"/>
      <c r="AL453" s="84"/>
      <c r="AP453" s="84"/>
      <c r="AT453" s="84"/>
      <c r="AX453" s="84"/>
      <c r="BB453" s="85"/>
      <c r="BC453" s="84"/>
      <c r="BD453" s="84"/>
      <c r="BF453" s="84"/>
      <c r="BL453" s="84"/>
      <c r="BP453" s="86"/>
      <c r="BV453" s="84"/>
      <c r="CA453" s="84"/>
      <c r="CF453" s="84"/>
      <c r="CK453" s="84"/>
      <c r="CP453" s="84"/>
      <c r="CS453" s="86"/>
      <c r="CT453" s="84"/>
      <c r="CW453" s="86"/>
      <c r="CX453" s="84"/>
      <c r="DA453" s="86"/>
      <c r="DB453" s="84"/>
      <c r="DE453" s="86"/>
      <c r="DF453" s="84"/>
      <c r="DI453" s="86"/>
      <c r="DJ453" s="84"/>
      <c r="DM453" s="86"/>
      <c r="DN453" s="84"/>
      <c r="DQ453" s="86"/>
      <c r="DR453" s="85"/>
      <c r="DS453" s="85"/>
      <c r="DT453" s="84"/>
      <c r="DV453" s="84"/>
      <c r="DW453" s="157"/>
      <c r="EB453" s="84"/>
      <c r="EG453" s="84"/>
      <c r="EK453" s="84"/>
      <c r="EO453" s="84"/>
      <c r="ES453" s="84"/>
      <c r="EW453" s="84"/>
    </row>
    <row r="454" customFormat="false" ht="12.75" hidden="false" customHeight="false" outlineLevel="0" collapsed="false">
      <c r="A454" s="37"/>
      <c r="E454" s="83"/>
      <c r="J454" s="84"/>
      <c r="N454" s="84"/>
      <c r="R454" s="84"/>
      <c r="V454" s="84"/>
      <c r="Z454" s="84"/>
      <c r="AD454" s="84"/>
      <c r="AH454" s="84"/>
      <c r="AL454" s="84"/>
      <c r="AP454" s="84"/>
      <c r="AT454" s="84"/>
      <c r="AX454" s="84"/>
      <c r="BB454" s="85"/>
      <c r="BC454" s="84"/>
      <c r="BD454" s="84"/>
      <c r="BF454" s="84"/>
      <c r="BL454" s="84"/>
      <c r="BP454" s="86"/>
      <c r="BV454" s="84"/>
      <c r="CA454" s="84"/>
      <c r="CF454" s="84"/>
      <c r="CK454" s="84"/>
      <c r="CP454" s="84"/>
      <c r="CS454" s="86"/>
      <c r="CT454" s="84"/>
      <c r="CW454" s="86"/>
      <c r="CX454" s="84"/>
      <c r="DA454" s="86"/>
      <c r="DB454" s="84"/>
      <c r="DE454" s="86"/>
      <c r="DF454" s="84"/>
      <c r="DI454" s="86"/>
      <c r="DJ454" s="84"/>
      <c r="DM454" s="86"/>
      <c r="DN454" s="84"/>
      <c r="DQ454" s="86"/>
      <c r="DR454" s="85"/>
      <c r="DS454" s="85"/>
      <c r="DT454" s="84"/>
      <c r="DV454" s="84"/>
      <c r="DW454" s="157"/>
      <c r="EB454" s="84"/>
      <c r="EG454" s="84"/>
      <c r="EK454" s="84"/>
      <c r="EO454" s="84"/>
      <c r="ES454" s="84"/>
      <c r="EW454" s="84"/>
    </row>
    <row r="455" customFormat="false" ht="12.75" hidden="false" customHeight="false" outlineLevel="0" collapsed="false">
      <c r="A455" s="37"/>
      <c r="E455" s="83"/>
      <c r="J455" s="84"/>
      <c r="N455" s="84"/>
      <c r="R455" s="84"/>
      <c r="V455" s="84"/>
      <c r="Z455" s="84"/>
      <c r="AD455" s="84"/>
      <c r="AH455" s="84"/>
      <c r="AL455" s="84"/>
      <c r="AP455" s="84"/>
      <c r="AT455" s="84"/>
      <c r="AX455" s="84"/>
      <c r="BB455" s="85"/>
      <c r="BC455" s="84"/>
      <c r="BD455" s="84"/>
      <c r="BF455" s="84"/>
      <c r="BL455" s="84"/>
      <c r="BP455" s="86"/>
      <c r="BV455" s="84"/>
      <c r="CA455" s="84"/>
      <c r="CF455" s="84"/>
      <c r="CK455" s="84"/>
      <c r="CP455" s="84"/>
      <c r="CS455" s="86"/>
      <c r="CT455" s="84"/>
      <c r="CW455" s="86"/>
      <c r="CX455" s="84"/>
      <c r="DA455" s="86"/>
      <c r="DB455" s="84"/>
      <c r="DE455" s="86"/>
      <c r="DF455" s="84"/>
      <c r="DI455" s="86"/>
      <c r="DJ455" s="84"/>
      <c r="DM455" s="86"/>
      <c r="DN455" s="84"/>
      <c r="DQ455" s="86"/>
      <c r="DR455" s="85"/>
      <c r="DS455" s="85"/>
      <c r="DT455" s="84"/>
      <c r="DV455" s="84"/>
      <c r="DW455" s="157"/>
      <c r="EB455" s="84"/>
      <c r="EG455" s="84"/>
      <c r="EK455" s="84"/>
      <c r="EO455" s="84"/>
      <c r="ES455" s="84"/>
      <c r="EW455" s="84"/>
    </row>
    <row r="456" customFormat="false" ht="12.75" hidden="false" customHeight="false" outlineLevel="0" collapsed="false">
      <c r="A456" s="37"/>
      <c r="E456" s="83"/>
      <c r="J456" s="84"/>
      <c r="N456" s="84"/>
      <c r="R456" s="84"/>
      <c r="V456" s="84"/>
      <c r="Z456" s="84"/>
      <c r="AD456" s="84"/>
      <c r="AH456" s="84"/>
      <c r="AL456" s="84"/>
      <c r="AP456" s="84"/>
      <c r="AT456" s="84"/>
      <c r="AX456" s="84"/>
      <c r="BB456" s="85"/>
      <c r="BC456" s="84"/>
      <c r="BD456" s="84"/>
      <c r="BF456" s="84"/>
      <c r="BL456" s="84"/>
      <c r="BP456" s="86"/>
      <c r="BV456" s="84"/>
      <c r="CA456" s="84"/>
      <c r="CF456" s="84"/>
      <c r="CK456" s="84"/>
      <c r="CP456" s="84"/>
      <c r="CS456" s="86"/>
      <c r="CT456" s="84"/>
      <c r="CW456" s="86"/>
      <c r="CX456" s="84"/>
      <c r="DA456" s="86"/>
      <c r="DB456" s="84"/>
      <c r="DE456" s="86"/>
      <c r="DF456" s="84"/>
      <c r="DI456" s="86"/>
      <c r="DJ456" s="84"/>
      <c r="DM456" s="86"/>
      <c r="DN456" s="84"/>
      <c r="DQ456" s="86"/>
      <c r="DR456" s="85"/>
      <c r="DS456" s="85"/>
      <c r="DT456" s="84"/>
      <c r="DV456" s="84"/>
      <c r="DW456" s="157"/>
      <c r="EB456" s="84"/>
      <c r="EG456" s="84"/>
      <c r="EK456" s="84"/>
      <c r="EO456" s="84"/>
      <c r="ES456" s="84"/>
      <c r="EW456" s="84"/>
    </row>
    <row r="457" customFormat="false" ht="12.75" hidden="false" customHeight="false" outlineLevel="0" collapsed="false">
      <c r="A457" s="37"/>
      <c r="E457" s="83"/>
      <c r="J457" s="84"/>
      <c r="N457" s="84"/>
      <c r="R457" s="84"/>
      <c r="V457" s="84"/>
      <c r="Z457" s="84"/>
      <c r="AD457" s="84"/>
      <c r="AH457" s="84"/>
      <c r="AL457" s="84"/>
      <c r="AP457" s="84"/>
      <c r="AT457" s="84"/>
      <c r="AX457" s="84"/>
      <c r="BB457" s="85"/>
      <c r="BC457" s="84"/>
      <c r="BD457" s="84"/>
      <c r="BF457" s="84"/>
      <c r="BL457" s="84"/>
      <c r="BP457" s="86"/>
      <c r="BV457" s="84"/>
      <c r="CA457" s="84"/>
      <c r="CF457" s="84"/>
      <c r="CK457" s="84"/>
      <c r="CP457" s="84"/>
      <c r="CS457" s="86"/>
      <c r="CT457" s="84"/>
      <c r="CW457" s="86"/>
      <c r="CX457" s="84"/>
      <c r="DA457" s="86"/>
      <c r="DB457" s="84"/>
      <c r="DE457" s="86"/>
      <c r="DF457" s="84"/>
      <c r="DI457" s="86"/>
      <c r="DJ457" s="84"/>
      <c r="DM457" s="86"/>
      <c r="DN457" s="84"/>
      <c r="DQ457" s="86"/>
      <c r="DR457" s="85"/>
      <c r="DS457" s="85"/>
      <c r="DT457" s="84"/>
      <c r="DV457" s="84"/>
      <c r="DW457" s="157"/>
      <c r="EB457" s="84"/>
      <c r="EG457" s="84"/>
      <c r="EK457" s="84"/>
      <c r="EO457" s="84"/>
      <c r="ES457" s="84"/>
      <c r="EW457" s="84"/>
    </row>
    <row r="458" customFormat="false" ht="12.75" hidden="false" customHeight="false" outlineLevel="0" collapsed="false">
      <c r="A458" s="37"/>
      <c r="E458" s="83"/>
      <c r="J458" s="84"/>
      <c r="N458" s="84"/>
      <c r="R458" s="84"/>
      <c r="V458" s="84"/>
      <c r="Z458" s="84"/>
      <c r="AD458" s="84"/>
      <c r="AH458" s="84"/>
      <c r="AL458" s="84"/>
      <c r="AP458" s="84"/>
      <c r="AT458" s="84"/>
      <c r="AX458" s="84"/>
      <c r="BB458" s="85"/>
      <c r="BC458" s="84"/>
      <c r="BD458" s="84"/>
      <c r="BF458" s="84"/>
      <c r="BL458" s="84"/>
      <c r="BP458" s="86"/>
      <c r="BV458" s="84"/>
      <c r="CA458" s="84"/>
      <c r="CF458" s="84"/>
      <c r="CK458" s="84"/>
      <c r="CP458" s="84"/>
      <c r="CS458" s="86"/>
      <c r="CT458" s="84"/>
      <c r="CW458" s="86"/>
      <c r="CX458" s="84"/>
      <c r="DA458" s="86"/>
      <c r="DB458" s="84"/>
      <c r="DE458" s="86"/>
      <c r="DF458" s="84"/>
      <c r="DI458" s="86"/>
      <c r="DJ458" s="84"/>
      <c r="DM458" s="86"/>
      <c r="DN458" s="84"/>
      <c r="DQ458" s="86"/>
      <c r="DR458" s="85"/>
      <c r="DS458" s="85"/>
      <c r="DT458" s="84"/>
      <c r="DV458" s="84"/>
      <c r="DW458" s="157"/>
      <c r="EB458" s="84"/>
      <c r="EG458" s="84"/>
      <c r="EK458" s="84"/>
      <c r="EO458" s="84"/>
      <c r="ES458" s="84"/>
      <c r="EW458" s="84"/>
    </row>
    <row r="459" customFormat="false" ht="12.75" hidden="false" customHeight="false" outlineLevel="0" collapsed="false">
      <c r="A459" s="37"/>
      <c r="E459" s="83"/>
      <c r="J459" s="84"/>
      <c r="N459" s="84"/>
      <c r="R459" s="84"/>
      <c r="V459" s="84"/>
      <c r="Z459" s="84"/>
      <c r="AD459" s="84"/>
      <c r="AH459" s="84"/>
      <c r="AL459" s="84"/>
      <c r="AP459" s="84"/>
      <c r="AT459" s="84"/>
      <c r="AX459" s="84"/>
      <c r="BB459" s="85"/>
      <c r="BC459" s="84"/>
      <c r="BD459" s="84"/>
      <c r="BF459" s="84"/>
      <c r="BL459" s="84"/>
      <c r="BP459" s="86"/>
      <c r="BV459" s="84"/>
      <c r="CA459" s="84"/>
      <c r="CF459" s="84"/>
      <c r="CK459" s="84"/>
      <c r="CP459" s="84"/>
      <c r="CS459" s="86"/>
      <c r="CT459" s="84"/>
      <c r="CW459" s="86"/>
      <c r="CX459" s="84"/>
      <c r="DA459" s="86"/>
      <c r="DB459" s="84"/>
      <c r="DE459" s="86"/>
      <c r="DF459" s="84"/>
      <c r="DI459" s="86"/>
      <c r="DJ459" s="84"/>
      <c r="DM459" s="86"/>
      <c r="DN459" s="84"/>
      <c r="DQ459" s="86"/>
      <c r="DR459" s="85"/>
      <c r="DS459" s="85"/>
      <c r="DT459" s="84"/>
      <c r="DV459" s="84"/>
      <c r="DW459" s="157"/>
      <c r="EB459" s="84"/>
      <c r="EG459" s="84"/>
      <c r="EK459" s="84"/>
      <c r="EO459" s="84"/>
      <c r="ES459" s="84"/>
      <c r="EW459" s="84"/>
    </row>
    <row r="460" customFormat="false" ht="12.75" hidden="false" customHeight="false" outlineLevel="0" collapsed="false">
      <c r="A460" s="37"/>
      <c r="E460" s="83"/>
      <c r="J460" s="84"/>
      <c r="N460" s="84"/>
      <c r="R460" s="84"/>
      <c r="V460" s="84"/>
      <c r="Z460" s="84"/>
      <c r="AD460" s="84"/>
      <c r="AH460" s="84"/>
      <c r="AL460" s="84"/>
      <c r="AP460" s="84"/>
      <c r="AT460" s="84"/>
      <c r="AX460" s="84"/>
      <c r="BB460" s="85"/>
      <c r="BC460" s="84"/>
      <c r="BD460" s="84"/>
      <c r="BF460" s="84"/>
      <c r="BL460" s="84"/>
      <c r="BP460" s="86"/>
      <c r="BV460" s="84"/>
      <c r="CA460" s="84"/>
      <c r="CF460" s="84"/>
      <c r="CK460" s="84"/>
      <c r="CP460" s="84"/>
      <c r="CS460" s="86"/>
      <c r="CT460" s="84"/>
      <c r="CW460" s="86"/>
      <c r="CX460" s="84"/>
      <c r="DA460" s="86"/>
      <c r="DB460" s="84"/>
      <c r="DE460" s="86"/>
      <c r="DF460" s="84"/>
      <c r="DI460" s="86"/>
      <c r="DJ460" s="84"/>
      <c r="DM460" s="86"/>
      <c r="DN460" s="84"/>
      <c r="DQ460" s="86"/>
      <c r="DR460" s="85"/>
      <c r="DS460" s="85"/>
      <c r="DT460" s="84"/>
      <c r="DV460" s="84"/>
      <c r="DW460" s="157"/>
      <c r="EB460" s="84"/>
      <c r="EG460" s="84"/>
      <c r="EK460" s="84"/>
      <c r="EO460" s="84"/>
      <c r="ES460" s="84"/>
      <c r="EW460" s="84"/>
    </row>
    <row r="461" customFormat="false" ht="12.75" hidden="false" customHeight="false" outlineLevel="0" collapsed="false">
      <c r="A461" s="37"/>
      <c r="E461" s="83"/>
      <c r="J461" s="84"/>
      <c r="N461" s="84"/>
      <c r="R461" s="84"/>
      <c r="V461" s="84"/>
      <c r="Z461" s="84"/>
      <c r="AD461" s="84"/>
      <c r="AH461" s="84"/>
      <c r="AL461" s="84"/>
      <c r="AP461" s="84"/>
      <c r="AT461" s="84"/>
      <c r="AX461" s="84"/>
      <c r="BB461" s="85"/>
      <c r="BC461" s="84"/>
      <c r="BD461" s="84"/>
      <c r="BF461" s="84"/>
      <c r="BL461" s="84"/>
      <c r="BP461" s="86"/>
      <c r="BV461" s="84"/>
      <c r="CA461" s="84"/>
      <c r="CF461" s="84"/>
      <c r="CK461" s="84"/>
      <c r="CP461" s="84"/>
      <c r="CS461" s="86"/>
      <c r="CT461" s="84"/>
      <c r="CW461" s="86"/>
      <c r="CX461" s="84"/>
      <c r="DA461" s="86"/>
      <c r="DB461" s="84"/>
      <c r="DE461" s="86"/>
      <c r="DF461" s="84"/>
      <c r="DI461" s="86"/>
      <c r="DJ461" s="84"/>
      <c r="DM461" s="86"/>
      <c r="DN461" s="84"/>
      <c r="DQ461" s="86"/>
      <c r="DR461" s="85"/>
      <c r="DS461" s="85"/>
      <c r="DT461" s="84"/>
      <c r="DV461" s="84"/>
      <c r="DW461" s="157"/>
      <c r="EB461" s="84"/>
      <c r="EG461" s="84"/>
      <c r="EK461" s="84"/>
      <c r="EO461" s="84"/>
      <c r="ES461" s="84"/>
      <c r="EW461" s="84"/>
    </row>
    <row r="462" customFormat="false" ht="12.75" hidden="false" customHeight="false" outlineLevel="0" collapsed="false">
      <c r="A462" s="37"/>
      <c r="E462" s="83"/>
      <c r="J462" s="84"/>
      <c r="N462" s="84"/>
      <c r="R462" s="84"/>
      <c r="V462" s="84"/>
      <c r="Z462" s="84"/>
      <c r="AD462" s="84"/>
      <c r="AH462" s="84"/>
      <c r="AL462" s="84"/>
      <c r="AP462" s="84"/>
      <c r="AT462" s="84"/>
      <c r="AX462" s="84"/>
      <c r="BB462" s="85"/>
      <c r="BC462" s="84"/>
      <c r="BD462" s="84"/>
      <c r="BF462" s="84"/>
      <c r="BL462" s="84"/>
      <c r="BP462" s="86"/>
      <c r="BV462" s="84"/>
      <c r="CA462" s="84"/>
      <c r="CF462" s="84"/>
      <c r="CK462" s="84"/>
      <c r="CP462" s="84"/>
      <c r="CS462" s="86"/>
      <c r="CT462" s="84"/>
      <c r="CW462" s="86"/>
      <c r="CX462" s="84"/>
      <c r="DA462" s="86"/>
      <c r="DB462" s="84"/>
      <c r="DE462" s="86"/>
      <c r="DF462" s="84"/>
      <c r="DI462" s="86"/>
      <c r="DJ462" s="84"/>
      <c r="DM462" s="86"/>
      <c r="DN462" s="84"/>
      <c r="DQ462" s="86"/>
      <c r="DR462" s="85"/>
      <c r="DS462" s="85"/>
      <c r="DT462" s="84"/>
      <c r="DV462" s="84"/>
      <c r="DW462" s="157"/>
      <c r="EB462" s="84"/>
      <c r="EG462" s="84"/>
      <c r="EK462" s="84"/>
      <c r="EO462" s="84"/>
      <c r="ES462" s="84"/>
      <c r="EW462" s="84"/>
    </row>
    <row r="463" customFormat="false" ht="12.75" hidden="false" customHeight="false" outlineLevel="0" collapsed="false">
      <c r="A463" s="37"/>
      <c r="E463" s="83"/>
      <c r="J463" s="84"/>
      <c r="N463" s="84"/>
      <c r="R463" s="84"/>
      <c r="V463" s="84"/>
      <c r="Z463" s="84"/>
      <c r="AD463" s="84"/>
      <c r="AH463" s="84"/>
      <c r="AL463" s="84"/>
      <c r="AP463" s="84"/>
      <c r="AT463" s="84"/>
      <c r="AX463" s="84"/>
      <c r="BB463" s="85"/>
      <c r="BC463" s="84"/>
      <c r="BD463" s="84"/>
      <c r="BF463" s="84"/>
      <c r="BL463" s="84"/>
      <c r="BP463" s="86"/>
      <c r="BV463" s="84"/>
      <c r="CA463" s="84"/>
      <c r="CF463" s="84"/>
      <c r="CK463" s="84"/>
      <c r="CP463" s="84"/>
      <c r="CS463" s="86"/>
      <c r="CT463" s="84"/>
      <c r="CW463" s="86"/>
      <c r="CX463" s="84"/>
      <c r="DA463" s="86"/>
      <c r="DB463" s="84"/>
      <c r="DE463" s="86"/>
      <c r="DF463" s="84"/>
      <c r="DI463" s="86"/>
      <c r="DJ463" s="84"/>
      <c r="DM463" s="86"/>
      <c r="DN463" s="84"/>
      <c r="DQ463" s="86"/>
      <c r="DR463" s="85"/>
      <c r="DS463" s="85"/>
      <c r="DT463" s="84"/>
      <c r="DV463" s="84"/>
      <c r="DW463" s="157"/>
      <c r="EB463" s="84"/>
      <c r="EG463" s="84"/>
      <c r="EK463" s="84"/>
      <c r="EO463" s="84"/>
      <c r="ES463" s="84"/>
      <c r="EW463" s="84"/>
    </row>
    <row r="464" customFormat="false" ht="12.75" hidden="false" customHeight="false" outlineLevel="0" collapsed="false">
      <c r="A464" s="37"/>
      <c r="E464" s="83"/>
      <c r="J464" s="84"/>
      <c r="N464" s="84"/>
      <c r="R464" s="84"/>
      <c r="V464" s="84"/>
      <c r="Z464" s="84"/>
      <c r="AD464" s="84"/>
      <c r="AH464" s="84"/>
      <c r="AL464" s="84"/>
      <c r="AP464" s="84"/>
      <c r="AT464" s="84"/>
      <c r="AX464" s="84"/>
      <c r="BB464" s="85"/>
      <c r="BC464" s="84"/>
      <c r="BD464" s="84"/>
      <c r="BF464" s="84"/>
      <c r="BL464" s="84"/>
      <c r="BP464" s="86"/>
      <c r="BV464" s="84"/>
      <c r="CA464" s="84"/>
      <c r="CF464" s="84"/>
      <c r="CK464" s="84"/>
      <c r="CP464" s="84"/>
      <c r="CS464" s="86"/>
      <c r="CT464" s="84"/>
      <c r="CW464" s="86"/>
      <c r="CX464" s="84"/>
      <c r="DA464" s="86"/>
      <c r="DB464" s="84"/>
      <c r="DE464" s="86"/>
      <c r="DF464" s="84"/>
      <c r="DI464" s="86"/>
      <c r="DJ464" s="84"/>
      <c r="DM464" s="86"/>
      <c r="DN464" s="84"/>
      <c r="DQ464" s="86"/>
      <c r="DR464" s="85"/>
      <c r="DS464" s="85"/>
      <c r="DT464" s="84"/>
      <c r="DV464" s="84"/>
      <c r="DW464" s="157"/>
      <c r="EB464" s="84"/>
      <c r="EG464" s="84"/>
      <c r="EK464" s="84"/>
      <c r="EO464" s="84"/>
      <c r="ES464" s="84"/>
      <c r="EW464" s="84"/>
    </row>
    <row r="465" customFormat="false" ht="12.75" hidden="false" customHeight="false" outlineLevel="0" collapsed="false">
      <c r="A465" s="37"/>
      <c r="E465" s="83"/>
      <c r="J465" s="84"/>
      <c r="N465" s="84"/>
      <c r="R465" s="84"/>
      <c r="V465" s="84"/>
      <c r="Z465" s="84"/>
      <c r="AD465" s="84"/>
      <c r="AH465" s="84"/>
      <c r="AL465" s="84"/>
      <c r="AP465" s="84"/>
      <c r="AT465" s="84"/>
      <c r="AX465" s="84"/>
      <c r="BB465" s="85"/>
      <c r="BC465" s="84"/>
      <c r="BD465" s="84"/>
      <c r="BF465" s="84"/>
      <c r="BL465" s="84"/>
      <c r="BP465" s="86"/>
      <c r="BV465" s="84"/>
      <c r="CA465" s="84"/>
      <c r="CF465" s="84"/>
      <c r="CK465" s="84"/>
      <c r="CP465" s="84"/>
      <c r="CS465" s="86"/>
      <c r="CT465" s="84"/>
      <c r="CW465" s="86"/>
      <c r="CX465" s="84"/>
      <c r="DA465" s="86"/>
      <c r="DB465" s="84"/>
      <c r="DE465" s="86"/>
      <c r="DF465" s="84"/>
      <c r="DI465" s="86"/>
      <c r="DJ465" s="84"/>
      <c r="DM465" s="86"/>
      <c r="DN465" s="84"/>
      <c r="DQ465" s="86"/>
      <c r="DR465" s="85"/>
      <c r="DS465" s="85"/>
      <c r="DT465" s="84"/>
      <c r="DV465" s="84"/>
      <c r="DW465" s="157"/>
      <c r="EB465" s="84"/>
      <c r="EG465" s="84"/>
      <c r="EK465" s="84"/>
      <c r="EO465" s="84"/>
      <c r="ES465" s="84"/>
      <c r="EW465" s="84"/>
    </row>
    <row r="466" customFormat="false" ht="12.75" hidden="false" customHeight="false" outlineLevel="0" collapsed="false">
      <c r="A466" s="37"/>
      <c r="E466" s="83"/>
      <c r="J466" s="84"/>
      <c r="N466" s="84"/>
      <c r="R466" s="84"/>
      <c r="V466" s="84"/>
      <c r="Z466" s="84"/>
      <c r="AD466" s="84"/>
      <c r="AH466" s="84"/>
      <c r="AL466" s="84"/>
      <c r="AP466" s="84"/>
      <c r="AT466" s="84"/>
      <c r="AX466" s="84"/>
      <c r="BB466" s="85"/>
      <c r="BC466" s="84"/>
      <c r="BD466" s="84"/>
      <c r="BF466" s="84"/>
      <c r="BL466" s="84"/>
      <c r="BP466" s="86"/>
      <c r="BV466" s="84"/>
      <c r="CA466" s="84"/>
      <c r="CF466" s="84"/>
      <c r="CK466" s="84"/>
      <c r="CP466" s="84"/>
      <c r="CS466" s="86"/>
      <c r="CT466" s="84"/>
      <c r="CW466" s="86"/>
      <c r="CX466" s="84"/>
      <c r="DA466" s="86"/>
      <c r="DB466" s="84"/>
      <c r="DE466" s="86"/>
      <c r="DF466" s="84"/>
      <c r="DI466" s="86"/>
      <c r="DJ466" s="84"/>
      <c r="DM466" s="86"/>
      <c r="DN466" s="84"/>
      <c r="DQ466" s="86"/>
      <c r="DR466" s="85"/>
      <c r="DS466" s="85"/>
      <c r="DT466" s="84"/>
      <c r="DV466" s="84"/>
      <c r="DW466" s="157"/>
      <c r="EB466" s="84"/>
      <c r="EG466" s="84"/>
      <c r="EK466" s="84"/>
      <c r="EO466" s="84"/>
      <c r="ES466" s="84"/>
      <c r="EW466" s="84"/>
    </row>
    <row r="467" customFormat="false" ht="12.75" hidden="false" customHeight="false" outlineLevel="0" collapsed="false">
      <c r="A467" s="37"/>
      <c r="E467" s="83"/>
      <c r="J467" s="84"/>
      <c r="N467" s="84"/>
      <c r="R467" s="84"/>
      <c r="V467" s="84"/>
      <c r="Z467" s="84"/>
      <c r="AD467" s="84"/>
      <c r="AH467" s="84"/>
      <c r="AL467" s="84"/>
      <c r="AP467" s="84"/>
      <c r="AT467" s="84"/>
      <c r="AX467" s="84"/>
      <c r="BB467" s="85"/>
      <c r="BC467" s="84"/>
      <c r="BD467" s="84"/>
      <c r="BF467" s="84"/>
      <c r="BL467" s="84"/>
      <c r="BP467" s="86"/>
      <c r="BV467" s="84"/>
      <c r="CA467" s="84"/>
      <c r="CF467" s="84"/>
      <c r="CK467" s="84"/>
      <c r="CP467" s="84"/>
      <c r="CS467" s="86"/>
      <c r="CT467" s="84"/>
      <c r="CW467" s="86"/>
      <c r="CX467" s="84"/>
      <c r="DA467" s="86"/>
      <c r="DB467" s="84"/>
      <c r="DE467" s="86"/>
      <c r="DF467" s="84"/>
      <c r="DI467" s="86"/>
      <c r="DJ467" s="84"/>
      <c r="DM467" s="86"/>
      <c r="DN467" s="84"/>
      <c r="DQ467" s="86"/>
      <c r="DR467" s="85"/>
      <c r="DS467" s="85"/>
      <c r="DT467" s="84"/>
      <c r="DV467" s="84"/>
      <c r="DW467" s="157"/>
      <c r="EB467" s="84"/>
      <c r="EG467" s="84"/>
      <c r="EK467" s="84"/>
      <c r="EO467" s="84"/>
      <c r="ES467" s="84"/>
      <c r="EW467" s="84"/>
    </row>
    <row r="468" customFormat="false" ht="12.75" hidden="false" customHeight="false" outlineLevel="0" collapsed="false">
      <c r="A468" s="37"/>
      <c r="E468" s="83"/>
      <c r="J468" s="84"/>
      <c r="N468" s="84"/>
      <c r="R468" s="84"/>
      <c r="V468" s="84"/>
      <c r="Z468" s="84"/>
      <c r="AD468" s="84"/>
      <c r="AH468" s="84"/>
      <c r="AL468" s="84"/>
      <c r="AP468" s="84"/>
      <c r="AT468" s="84"/>
      <c r="AX468" s="84"/>
      <c r="BB468" s="85"/>
      <c r="BC468" s="84"/>
      <c r="BD468" s="84"/>
      <c r="BF468" s="84"/>
      <c r="BL468" s="84"/>
      <c r="BP468" s="86"/>
      <c r="BV468" s="84"/>
      <c r="CA468" s="84"/>
      <c r="CF468" s="84"/>
      <c r="CK468" s="84"/>
      <c r="CP468" s="84"/>
      <c r="CS468" s="86"/>
      <c r="CT468" s="84"/>
      <c r="CW468" s="86"/>
      <c r="CX468" s="84"/>
      <c r="DA468" s="86"/>
      <c r="DB468" s="84"/>
      <c r="DE468" s="86"/>
      <c r="DF468" s="84"/>
      <c r="DI468" s="86"/>
      <c r="DJ468" s="84"/>
      <c r="DM468" s="86"/>
      <c r="DN468" s="84"/>
      <c r="DQ468" s="86"/>
      <c r="DR468" s="85"/>
      <c r="DS468" s="85"/>
      <c r="DT468" s="84"/>
      <c r="DV468" s="84"/>
      <c r="DW468" s="157"/>
      <c r="EB468" s="84"/>
      <c r="EG468" s="84"/>
      <c r="EK468" s="84"/>
      <c r="EO468" s="84"/>
      <c r="ES468" s="84"/>
      <c r="EW468" s="84"/>
    </row>
    <row r="469" customFormat="false" ht="12.75" hidden="false" customHeight="false" outlineLevel="0" collapsed="false">
      <c r="A469" s="37"/>
      <c r="E469" s="83"/>
      <c r="J469" s="84"/>
      <c r="N469" s="84"/>
      <c r="R469" s="84"/>
      <c r="V469" s="84"/>
      <c r="Z469" s="84"/>
      <c r="AD469" s="84"/>
      <c r="AH469" s="84"/>
      <c r="AL469" s="84"/>
      <c r="AP469" s="84"/>
      <c r="AT469" s="84"/>
      <c r="AX469" s="84"/>
      <c r="BB469" s="85"/>
      <c r="BC469" s="84"/>
      <c r="BD469" s="84"/>
      <c r="BF469" s="84"/>
      <c r="BL469" s="84"/>
      <c r="BP469" s="86"/>
      <c r="BV469" s="84"/>
      <c r="CA469" s="84"/>
      <c r="CF469" s="84"/>
      <c r="CK469" s="84"/>
      <c r="CP469" s="84"/>
      <c r="CS469" s="86"/>
      <c r="CT469" s="84"/>
      <c r="CW469" s="86"/>
      <c r="CX469" s="84"/>
      <c r="DA469" s="86"/>
      <c r="DB469" s="84"/>
      <c r="DE469" s="86"/>
      <c r="DF469" s="84"/>
      <c r="DI469" s="86"/>
      <c r="DJ469" s="84"/>
      <c r="DM469" s="86"/>
      <c r="DN469" s="84"/>
      <c r="DQ469" s="86"/>
      <c r="DR469" s="85"/>
      <c r="DS469" s="85"/>
      <c r="DT469" s="84"/>
      <c r="DV469" s="84"/>
      <c r="DW469" s="157"/>
      <c r="EB469" s="84"/>
      <c r="EG469" s="84"/>
      <c r="EK469" s="84"/>
      <c r="EO469" s="84"/>
      <c r="ES469" s="84"/>
      <c r="EW469" s="84"/>
    </row>
    <row r="470" customFormat="false" ht="12.75" hidden="false" customHeight="false" outlineLevel="0" collapsed="false">
      <c r="A470" s="37"/>
      <c r="E470" s="83"/>
      <c r="J470" s="84"/>
      <c r="N470" s="84"/>
      <c r="R470" s="84"/>
      <c r="V470" s="84"/>
      <c r="Z470" s="84"/>
      <c r="AD470" s="84"/>
      <c r="AH470" s="84"/>
      <c r="AL470" s="84"/>
      <c r="AP470" s="84"/>
      <c r="AT470" s="84"/>
      <c r="AX470" s="84"/>
      <c r="BB470" s="85"/>
      <c r="BC470" s="84"/>
      <c r="BD470" s="84"/>
      <c r="BF470" s="84"/>
      <c r="BL470" s="84"/>
      <c r="BP470" s="86"/>
      <c r="BV470" s="84"/>
      <c r="CA470" s="84"/>
      <c r="CF470" s="84"/>
      <c r="CK470" s="84"/>
      <c r="CP470" s="84"/>
      <c r="CS470" s="86"/>
      <c r="CT470" s="84"/>
      <c r="CW470" s="86"/>
      <c r="CX470" s="84"/>
      <c r="DA470" s="86"/>
      <c r="DB470" s="84"/>
      <c r="DE470" s="86"/>
      <c r="DF470" s="84"/>
      <c r="DI470" s="86"/>
      <c r="DJ470" s="84"/>
      <c r="DM470" s="86"/>
      <c r="DN470" s="84"/>
      <c r="DQ470" s="86"/>
      <c r="DR470" s="85"/>
      <c r="DS470" s="85"/>
      <c r="DT470" s="84"/>
      <c r="DV470" s="84"/>
      <c r="DW470" s="157"/>
      <c r="EB470" s="84"/>
      <c r="EG470" s="84"/>
      <c r="EK470" s="84"/>
      <c r="EO470" s="84"/>
      <c r="ES470" s="84"/>
      <c r="EW470" s="84"/>
    </row>
    <row r="471" customFormat="false" ht="12.75" hidden="false" customHeight="false" outlineLevel="0" collapsed="false">
      <c r="A471" s="37"/>
      <c r="E471" s="83"/>
      <c r="J471" s="84"/>
      <c r="N471" s="84"/>
      <c r="R471" s="84"/>
      <c r="V471" s="84"/>
      <c r="Z471" s="84"/>
      <c r="AD471" s="84"/>
      <c r="AH471" s="84"/>
      <c r="AL471" s="84"/>
      <c r="AP471" s="84"/>
      <c r="AT471" s="84"/>
      <c r="AX471" s="84"/>
      <c r="BB471" s="85"/>
      <c r="BC471" s="84"/>
      <c r="BD471" s="84"/>
      <c r="BF471" s="84"/>
      <c r="BL471" s="84"/>
      <c r="BP471" s="86"/>
      <c r="BV471" s="84"/>
      <c r="CA471" s="84"/>
      <c r="CF471" s="84"/>
      <c r="CK471" s="84"/>
      <c r="CP471" s="84"/>
      <c r="CS471" s="86"/>
      <c r="CT471" s="84"/>
      <c r="CW471" s="86"/>
      <c r="CX471" s="84"/>
      <c r="DA471" s="86"/>
      <c r="DB471" s="84"/>
      <c r="DE471" s="86"/>
      <c r="DF471" s="84"/>
      <c r="DI471" s="86"/>
      <c r="DJ471" s="84"/>
      <c r="DM471" s="86"/>
      <c r="DN471" s="84"/>
      <c r="DQ471" s="86"/>
      <c r="DR471" s="85"/>
      <c r="DS471" s="85"/>
      <c r="DT471" s="84"/>
      <c r="DV471" s="84"/>
      <c r="DW471" s="157"/>
      <c r="EB471" s="84"/>
      <c r="EG471" s="84"/>
      <c r="EK471" s="84"/>
      <c r="EO471" s="84"/>
      <c r="ES471" s="84"/>
      <c r="EW471" s="84"/>
    </row>
    <row r="472" customFormat="false" ht="12.75" hidden="false" customHeight="false" outlineLevel="0" collapsed="false">
      <c r="A472" s="37"/>
      <c r="E472" s="83"/>
      <c r="J472" s="84"/>
      <c r="N472" s="84"/>
      <c r="R472" s="84"/>
      <c r="V472" s="84"/>
      <c r="Z472" s="84"/>
      <c r="AD472" s="84"/>
      <c r="AH472" s="84"/>
      <c r="AL472" s="84"/>
      <c r="AP472" s="84"/>
      <c r="AT472" s="84"/>
      <c r="AX472" s="84"/>
      <c r="BB472" s="85"/>
      <c r="BC472" s="84"/>
      <c r="BD472" s="84"/>
      <c r="BF472" s="84"/>
      <c r="BL472" s="84"/>
      <c r="BP472" s="86"/>
      <c r="BV472" s="84"/>
      <c r="CA472" s="84"/>
      <c r="CF472" s="84"/>
      <c r="CK472" s="84"/>
      <c r="CP472" s="84"/>
      <c r="CS472" s="86"/>
      <c r="CT472" s="84"/>
      <c r="CW472" s="86"/>
      <c r="CX472" s="84"/>
      <c r="DA472" s="86"/>
      <c r="DB472" s="84"/>
      <c r="DE472" s="86"/>
      <c r="DF472" s="84"/>
      <c r="DI472" s="86"/>
      <c r="DJ472" s="84"/>
      <c r="DM472" s="86"/>
      <c r="DN472" s="84"/>
      <c r="DQ472" s="86"/>
      <c r="DR472" s="85"/>
      <c r="DS472" s="85"/>
      <c r="DT472" s="84"/>
      <c r="DV472" s="84"/>
      <c r="DW472" s="157"/>
      <c r="EB472" s="84"/>
      <c r="EG472" s="84"/>
      <c r="EK472" s="84"/>
      <c r="EO472" s="84"/>
      <c r="ES472" s="84"/>
      <c r="EW472" s="84"/>
    </row>
    <row r="473" customFormat="false" ht="12.75" hidden="false" customHeight="false" outlineLevel="0" collapsed="false">
      <c r="A473" s="37"/>
      <c r="E473" s="83"/>
      <c r="J473" s="84"/>
      <c r="N473" s="84"/>
      <c r="R473" s="84"/>
      <c r="V473" s="84"/>
      <c r="Z473" s="84"/>
      <c r="AD473" s="84"/>
      <c r="AH473" s="84"/>
      <c r="AL473" s="84"/>
      <c r="AP473" s="84"/>
      <c r="AT473" s="84"/>
      <c r="AX473" s="84"/>
      <c r="BB473" s="85"/>
      <c r="BC473" s="84"/>
      <c r="BD473" s="84"/>
      <c r="BF473" s="84"/>
      <c r="BL473" s="84"/>
      <c r="BP473" s="86"/>
      <c r="BV473" s="84"/>
      <c r="CA473" s="84"/>
      <c r="CF473" s="84"/>
      <c r="CK473" s="84"/>
      <c r="CP473" s="84"/>
      <c r="CS473" s="86"/>
      <c r="CT473" s="84"/>
      <c r="CW473" s="86"/>
      <c r="CX473" s="84"/>
      <c r="DA473" s="86"/>
      <c r="DB473" s="84"/>
      <c r="DE473" s="86"/>
      <c r="DF473" s="84"/>
      <c r="DI473" s="86"/>
      <c r="DJ473" s="84"/>
      <c r="DM473" s="86"/>
      <c r="DN473" s="84"/>
      <c r="DQ473" s="86"/>
      <c r="DR473" s="85"/>
      <c r="DS473" s="85"/>
      <c r="DT473" s="84"/>
      <c r="DV473" s="84"/>
      <c r="DW473" s="157"/>
      <c r="EB473" s="84"/>
      <c r="EG473" s="84"/>
      <c r="EK473" s="84"/>
      <c r="EO473" s="84"/>
      <c r="ES473" s="84"/>
      <c r="EW473" s="84"/>
    </row>
    <row r="474" customFormat="false" ht="12.75" hidden="false" customHeight="false" outlineLevel="0" collapsed="false">
      <c r="A474" s="37"/>
      <c r="E474" s="83"/>
      <c r="J474" s="84"/>
      <c r="N474" s="84"/>
      <c r="R474" s="84"/>
      <c r="V474" s="84"/>
      <c r="Z474" s="84"/>
      <c r="AD474" s="84"/>
      <c r="AH474" s="84"/>
      <c r="AL474" s="84"/>
      <c r="AP474" s="84"/>
      <c r="AT474" s="84"/>
      <c r="AX474" s="84"/>
      <c r="BB474" s="85"/>
      <c r="BC474" s="84"/>
      <c r="BD474" s="84"/>
      <c r="BF474" s="84"/>
      <c r="BL474" s="84"/>
      <c r="BP474" s="86"/>
      <c r="BV474" s="84"/>
      <c r="CA474" s="84"/>
      <c r="CF474" s="84"/>
      <c r="CK474" s="84"/>
      <c r="CP474" s="84"/>
      <c r="CS474" s="86"/>
      <c r="CT474" s="84"/>
      <c r="CW474" s="86"/>
      <c r="CX474" s="84"/>
      <c r="DA474" s="86"/>
      <c r="DB474" s="84"/>
      <c r="DE474" s="86"/>
      <c r="DF474" s="84"/>
      <c r="DI474" s="86"/>
      <c r="DJ474" s="84"/>
      <c r="DM474" s="86"/>
      <c r="DN474" s="84"/>
      <c r="DQ474" s="86"/>
      <c r="DR474" s="85"/>
      <c r="DS474" s="85"/>
      <c r="DT474" s="84"/>
      <c r="DV474" s="84"/>
      <c r="DW474" s="157"/>
      <c r="EB474" s="84"/>
      <c r="EG474" s="84"/>
      <c r="EK474" s="84"/>
      <c r="EO474" s="84"/>
      <c r="ES474" s="84"/>
      <c r="EW474" s="84"/>
    </row>
    <row r="475" customFormat="false" ht="12.75" hidden="false" customHeight="false" outlineLevel="0" collapsed="false">
      <c r="A475" s="37"/>
      <c r="E475" s="83"/>
      <c r="J475" s="84"/>
      <c r="N475" s="84"/>
      <c r="R475" s="84"/>
      <c r="V475" s="84"/>
      <c r="Z475" s="84"/>
      <c r="AD475" s="84"/>
      <c r="AH475" s="84"/>
      <c r="AL475" s="84"/>
      <c r="AP475" s="84"/>
      <c r="AT475" s="84"/>
      <c r="AX475" s="84"/>
      <c r="BB475" s="85"/>
      <c r="BC475" s="84"/>
      <c r="BD475" s="84"/>
      <c r="BF475" s="84"/>
      <c r="BL475" s="84"/>
      <c r="BP475" s="86"/>
      <c r="BV475" s="84"/>
      <c r="CA475" s="84"/>
      <c r="CF475" s="84"/>
      <c r="CK475" s="84"/>
      <c r="CP475" s="84"/>
      <c r="CS475" s="86"/>
      <c r="CT475" s="84"/>
      <c r="CW475" s="86"/>
      <c r="CX475" s="84"/>
      <c r="DA475" s="86"/>
      <c r="DB475" s="84"/>
      <c r="DE475" s="86"/>
      <c r="DF475" s="84"/>
      <c r="DI475" s="86"/>
      <c r="DJ475" s="84"/>
      <c r="DM475" s="86"/>
      <c r="DN475" s="84"/>
      <c r="DQ475" s="86"/>
      <c r="DR475" s="85"/>
      <c r="DS475" s="85"/>
      <c r="DT475" s="84"/>
      <c r="DV475" s="84"/>
      <c r="DW475" s="157"/>
      <c r="EB475" s="84"/>
      <c r="EG475" s="84"/>
      <c r="EK475" s="84"/>
      <c r="EO475" s="84"/>
      <c r="ES475" s="84"/>
      <c r="EW475" s="84"/>
    </row>
    <row r="476" customFormat="false" ht="12.75" hidden="false" customHeight="false" outlineLevel="0" collapsed="false">
      <c r="A476" s="37"/>
      <c r="E476" s="83"/>
      <c r="J476" s="84"/>
      <c r="N476" s="84"/>
      <c r="R476" s="84"/>
      <c r="V476" s="84"/>
      <c r="Z476" s="84"/>
      <c r="AD476" s="84"/>
      <c r="AH476" s="84"/>
      <c r="AL476" s="84"/>
      <c r="AP476" s="84"/>
      <c r="AT476" s="84"/>
      <c r="AX476" s="84"/>
      <c r="BB476" s="85"/>
      <c r="BC476" s="84"/>
      <c r="BD476" s="84"/>
      <c r="BF476" s="84"/>
      <c r="BL476" s="84"/>
      <c r="BP476" s="86"/>
      <c r="BV476" s="84"/>
      <c r="CA476" s="84"/>
      <c r="CF476" s="84"/>
      <c r="CK476" s="84"/>
      <c r="CP476" s="84"/>
      <c r="CS476" s="86"/>
      <c r="CT476" s="84"/>
      <c r="CW476" s="86"/>
      <c r="CX476" s="84"/>
      <c r="DA476" s="86"/>
      <c r="DB476" s="84"/>
      <c r="DE476" s="86"/>
      <c r="DF476" s="84"/>
      <c r="DI476" s="86"/>
      <c r="DJ476" s="84"/>
      <c r="DM476" s="86"/>
      <c r="DN476" s="84"/>
      <c r="DQ476" s="86"/>
      <c r="DR476" s="85"/>
      <c r="DS476" s="85"/>
      <c r="DT476" s="84"/>
      <c r="DV476" s="84"/>
      <c r="DW476" s="157"/>
      <c r="EB476" s="84"/>
      <c r="EG476" s="84"/>
      <c r="EK476" s="84"/>
      <c r="EO476" s="84"/>
      <c r="ES476" s="84"/>
      <c r="EW476" s="84"/>
    </row>
    <row r="477" customFormat="false" ht="12.75" hidden="false" customHeight="false" outlineLevel="0" collapsed="false">
      <c r="A477" s="37"/>
      <c r="E477" s="83"/>
      <c r="J477" s="84"/>
      <c r="N477" s="84"/>
      <c r="R477" s="84"/>
      <c r="V477" s="84"/>
      <c r="Z477" s="84"/>
      <c r="AD477" s="84"/>
      <c r="AH477" s="84"/>
      <c r="AL477" s="84"/>
      <c r="AP477" s="84"/>
      <c r="AT477" s="84"/>
      <c r="AX477" s="84"/>
      <c r="BB477" s="85"/>
      <c r="BC477" s="84"/>
      <c r="BD477" s="84"/>
      <c r="BF477" s="84"/>
      <c r="BL477" s="84"/>
      <c r="BP477" s="86"/>
      <c r="BV477" s="84"/>
      <c r="CA477" s="84"/>
      <c r="CF477" s="84"/>
      <c r="CK477" s="84"/>
      <c r="CP477" s="84"/>
      <c r="CS477" s="86"/>
      <c r="CT477" s="84"/>
      <c r="CW477" s="86"/>
      <c r="CX477" s="84"/>
      <c r="DA477" s="86"/>
      <c r="DB477" s="84"/>
      <c r="DE477" s="86"/>
      <c r="DF477" s="84"/>
      <c r="DI477" s="86"/>
      <c r="DJ477" s="84"/>
      <c r="DM477" s="86"/>
      <c r="DN477" s="84"/>
      <c r="DQ477" s="86"/>
      <c r="DR477" s="85"/>
      <c r="DS477" s="85"/>
      <c r="DT477" s="84"/>
      <c r="DV477" s="84"/>
      <c r="DW477" s="157"/>
      <c r="EB477" s="84"/>
      <c r="EG477" s="84"/>
      <c r="EK477" s="84"/>
      <c r="EO477" s="84"/>
      <c r="ES477" s="84"/>
      <c r="EW477" s="84"/>
    </row>
    <row r="478" customFormat="false" ht="12.75" hidden="false" customHeight="false" outlineLevel="0" collapsed="false">
      <c r="A478" s="37"/>
      <c r="E478" s="83"/>
      <c r="J478" s="84"/>
      <c r="N478" s="84"/>
      <c r="R478" s="84"/>
      <c r="V478" s="84"/>
      <c r="Z478" s="84"/>
      <c r="AD478" s="84"/>
      <c r="AH478" s="84"/>
      <c r="AL478" s="84"/>
      <c r="AP478" s="84"/>
      <c r="AT478" s="84"/>
      <c r="AX478" s="84"/>
      <c r="BB478" s="85"/>
      <c r="BC478" s="84"/>
      <c r="BD478" s="84"/>
      <c r="BF478" s="84"/>
      <c r="BL478" s="84"/>
      <c r="BP478" s="86"/>
      <c r="BV478" s="84"/>
      <c r="CA478" s="84"/>
      <c r="CF478" s="84"/>
      <c r="CK478" s="84"/>
      <c r="CP478" s="84"/>
      <c r="CS478" s="86"/>
      <c r="CT478" s="84"/>
      <c r="CW478" s="86"/>
      <c r="CX478" s="84"/>
      <c r="DA478" s="86"/>
      <c r="DB478" s="84"/>
      <c r="DE478" s="86"/>
      <c r="DF478" s="84"/>
      <c r="DI478" s="86"/>
      <c r="DJ478" s="84"/>
      <c r="DM478" s="86"/>
      <c r="DN478" s="84"/>
      <c r="DQ478" s="86"/>
      <c r="DR478" s="85"/>
      <c r="DS478" s="85"/>
      <c r="DT478" s="84"/>
      <c r="DV478" s="84"/>
      <c r="DW478" s="157"/>
      <c r="EB478" s="84"/>
      <c r="EG478" s="84"/>
      <c r="EK478" s="84"/>
      <c r="EO478" s="84"/>
      <c r="ES478" s="84"/>
      <c r="EW478" s="84"/>
    </row>
    <row r="479" customFormat="false" ht="12.75" hidden="false" customHeight="false" outlineLevel="0" collapsed="false">
      <c r="A479" s="37"/>
      <c r="E479" s="83"/>
      <c r="J479" s="84"/>
      <c r="N479" s="84"/>
      <c r="R479" s="84"/>
      <c r="V479" s="84"/>
      <c r="Z479" s="84"/>
      <c r="AD479" s="84"/>
      <c r="AH479" s="84"/>
      <c r="AL479" s="84"/>
      <c r="AP479" s="84"/>
      <c r="AT479" s="84"/>
      <c r="AX479" s="84"/>
      <c r="BB479" s="85"/>
      <c r="BC479" s="84"/>
      <c r="BD479" s="84"/>
      <c r="BF479" s="84"/>
      <c r="BL479" s="84"/>
      <c r="BP479" s="86"/>
      <c r="BV479" s="84"/>
      <c r="CA479" s="84"/>
      <c r="CF479" s="84"/>
      <c r="CK479" s="84"/>
      <c r="CP479" s="84"/>
      <c r="CS479" s="86"/>
      <c r="CT479" s="84"/>
      <c r="CW479" s="86"/>
      <c r="CX479" s="84"/>
      <c r="DA479" s="86"/>
      <c r="DB479" s="84"/>
      <c r="DE479" s="86"/>
      <c r="DF479" s="84"/>
      <c r="DI479" s="86"/>
      <c r="DJ479" s="84"/>
      <c r="DM479" s="86"/>
      <c r="DN479" s="84"/>
      <c r="DQ479" s="86"/>
      <c r="DR479" s="85"/>
      <c r="DS479" s="85"/>
      <c r="DT479" s="84"/>
      <c r="DV479" s="84"/>
      <c r="DW479" s="157"/>
      <c r="EB479" s="84"/>
      <c r="EG479" s="84"/>
      <c r="EK479" s="84"/>
      <c r="EO479" s="84"/>
      <c r="ES479" s="84"/>
      <c r="EW479" s="84"/>
    </row>
    <row r="480" customFormat="false" ht="12.75" hidden="false" customHeight="false" outlineLevel="0" collapsed="false">
      <c r="A480" s="37"/>
      <c r="E480" s="83"/>
      <c r="J480" s="84"/>
      <c r="N480" s="84"/>
      <c r="R480" s="84"/>
      <c r="V480" s="84"/>
      <c r="Z480" s="84"/>
      <c r="AD480" s="84"/>
      <c r="AH480" s="84"/>
      <c r="AL480" s="84"/>
      <c r="AP480" s="84"/>
      <c r="AT480" s="84"/>
      <c r="AX480" s="84"/>
      <c r="BB480" s="85"/>
      <c r="BC480" s="84"/>
      <c r="BD480" s="84"/>
      <c r="BF480" s="84"/>
      <c r="BL480" s="84"/>
      <c r="BP480" s="86"/>
      <c r="BV480" s="84"/>
      <c r="CA480" s="84"/>
      <c r="CF480" s="84"/>
      <c r="CK480" s="84"/>
      <c r="CP480" s="84"/>
      <c r="CS480" s="86"/>
      <c r="CT480" s="84"/>
      <c r="CW480" s="86"/>
      <c r="CX480" s="84"/>
      <c r="DA480" s="86"/>
      <c r="DB480" s="84"/>
      <c r="DE480" s="86"/>
      <c r="DF480" s="84"/>
      <c r="DI480" s="86"/>
      <c r="DJ480" s="84"/>
      <c r="DM480" s="86"/>
      <c r="DN480" s="84"/>
      <c r="DQ480" s="86"/>
      <c r="DR480" s="85"/>
      <c r="DS480" s="85"/>
      <c r="DT480" s="84"/>
      <c r="DV480" s="84"/>
      <c r="DW480" s="157"/>
      <c r="EB480" s="84"/>
      <c r="EG480" s="84"/>
      <c r="EK480" s="84"/>
      <c r="EO480" s="84"/>
      <c r="ES480" s="84"/>
      <c r="EW480" s="84"/>
    </row>
    <row r="481" customFormat="false" ht="12.75" hidden="false" customHeight="false" outlineLevel="0" collapsed="false">
      <c r="A481" s="37"/>
      <c r="E481" s="83"/>
      <c r="J481" s="84"/>
      <c r="N481" s="84"/>
      <c r="R481" s="84"/>
      <c r="V481" s="84"/>
      <c r="Z481" s="84"/>
      <c r="AD481" s="84"/>
      <c r="AH481" s="84"/>
      <c r="AL481" s="84"/>
      <c r="AP481" s="84"/>
      <c r="AT481" s="84"/>
      <c r="AX481" s="84"/>
      <c r="BB481" s="85"/>
      <c r="BC481" s="84"/>
      <c r="BD481" s="84"/>
      <c r="BF481" s="84"/>
      <c r="BL481" s="84"/>
      <c r="BP481" s="86"/>
      <c r="BV481" s="84"/>
      <c r="CA481" s="84"/>
      <c r="CF481" s="84"/>
      <c r="CK481" s="84"/>
      <c r="CP481" s="84"/>
      <c r="CS481" s="86"/>
      <c r="CT481" s="84"/>
      <c r="CW481" s="86"/>
      <c r="CX481" s="84"/>
      <c r="DA481" s="86"/>
      <c r="DB481" s="84"/>
      <c r="DE481" s="86"/>
      <c r="DF481" s="84"/>
      <c r="DI481" s="86"/>
      <c r="DJ481" s="84"/>
      <c r="DM481" s="86"/>
      <c r="DN481" s="84"/>
      <c r="DQ481" s="86"/>
      <c r="DR481" s="85"/>
      <c r="DS481" s="85"/>
      <c r="DT481" s="84"/>
      <c r="DV481" s="84"/>
      <c r="DW481" s="157"/>
      <c r="EB481" s="84"/>
      <c r="EG481" s="84"/>
      <c r="EK481" s="84"/>
      <c r="EO481" s="84"/>
      <c r="ES481" s="84"/>
      <c r="EW481" s="84"/>
    </row>
    <row r="482" customFormat="false" ht="12.75" hidden="false" customHeight="false" outlineLevel="0" collapsed="false">
      <c r="A482" s="37"/>
      <c r="E482" s="83"/>
      <c r="J482" s="84"/>
      <c r="N482" s="84"/>
      <c r="R482" s="84"/>
      <c r="V482" s="84"/>
      <c r="Z482" s="84"/>
      <c r="AD482" s="84"/>
      <c r="AH482" s="84"/>
      <c r="AL482" s="84"/>
      <c r="AP482" s="84"/>
      <c r="AT482" s="84"/>
      <c r="AX482" s="84"/>
      <c r="BB482" s="85"/>
      <c r="BC482" s="84"/>
      <c r="BD482" s="84"/>
      <c r="BF482" s="84"/>
      <c r="BL482" s="84"/>
      <c r="BP482" s="86"/>
      <c r="BV482" s="84"/>
      <c r="CA482" s="84"/>
      <c r="CF482" s="84"/>
      <c r="CK482" s="84"/>
      <c r="CP482" s="84"/>
      <c r="CS482" s="86"/>
      <c r="CT482" s="84"/>
      <c r="CW482" s="86"/>
      <c r="CX482" s="84"/>
      <c r="DA482" s="86"/>
      <c r="DB482" s="84"/>
      <c r="DE482" s="86"/>
      <c r="DF482" s="84"/>
      <c r="DI482" s="86"/>
      <c r="DJ482" s="84"/>
      <c r="DM482" s="86"/>
      <c r="DN482" s="84"/>
      <c r="DQ482" s="86"/>
      <c r="DR482" s="85"/>
      <c r="DS482" s="85"/>
      <c r="DT482" s="84"/>
      <c r="DV482" s="84"/>
      <c r="DW482" s="157"/>
      <c r="EB482" s="84"/>
      <c r="EG482" s="84"/>
      <c r="EK482" s="84"/>
      <c r="EO482" s="84"/>
      <c r="ES482" s="84"/>
      <c r="EW482" s="84"/>
    </row>
    <row r="483" customFormat="false" ht="12.75" hidden="false" customHeight="false" outlineLevel="0" collapsed="false">
      <c r="A483" s="37"/>
      <c r="E483" s="83"/>
      <c r="J483" s="84"/>
      <c r="N483" s="84"/>
      <c r="R483" s="84"/>
      <c r="V483" s="84"/>
      <c r="Z483" s="84"/>
      <c r="AD483" s="84"/>
      <c r="AH483" s="84"/>
      <c r="AL483" s="84"/>
      <c r="AP483" s="84"/>
      <c r="AT483" s="84"/>
      <c r="AX483" s="84"/>
      <c r="BB483" s="85"/>
      <c r="BC483" s="84"/>
      <c r="BD483" s="84"/>
      <c r="BF483" s="84"/>
      <c r="BL483" s="84"/>
      <c r="BP483" s="86"/>
      <c r="BV483" s="84"/>
      <c r="CA483" s="84"/>
      <c r="CF483" s="84"/>
      <c r="CK483" s="84"/>
      <c r="CP483" s="84"/>
      <c r="CS483" s="86"/>
      <c r="CT483" s="84"/>
      <c r="CW483" s="86"/>
      <c r="CX483" s="84"/>
      <c r="DA483" s="86"/>
      <c r="DB483" s="84"/>
      <c r="DE483" s="86"/>
      <c r="DF483" s="84"/>
      <c r="DI483" s="86"/>
      <c r="DJ483" s="84"/>
      <c r="DM483" s="86"/>
      <c r="DN483" s="84"/>
      <c r="DQ483" s="86"/>
      <c r="DR483" s="85"/>
      <c r="DS483" s="85"/>
      <c r="DT483" s="84"/>
      <c r="DV483" s="84"/>
      <c r="DW483" s="157"/>
      <c r="EB483" s="84"/>
      <c r="EG483" s="84"/>
      <c r="EK483" s="84"/>
      <c r="EO483" s="84"/>
      <c r="ES483" s="84"/>
      <c r="EW483" s="84"/>
    </row>
    <row r="484" customFormat="false" ht="12.75" hidden="false" customHeight="false" outlineLevel="0" collapsed="false">
      <c r="A484" s="37"/>
      <c r="E484" s="83"/>
      <c r="J484" s="84"/>
      <c r="N484" s="84"/>
      <c r="R484" s="84"/>
      <c r="V484" s="84"/>
      <c r="Z484" s="84"/>
      <c r="AD484" s="84"/>
      <c r="AH484" s="84"/>
      <c r="AL484" s="84"/>
      <c r="AP484" s="84"/>
      <c r="AT484" s="84"/>
      <c r="AX484" s="84"/>
      <c r="BB484" s="85"/>
      <c r="BC484" s="84"/>
      <c r="BD484" s="84"/>
      <c r="BF484" s="84"/>
      <c r="BL484" s="84"/>
      <c r="BP484" s="86"/>
      <c r="BV484" s="84"/>
      <c r="CA484" s="84"/>
      <c r="CF484" s="84"/>
      <c r="CK484" s="84"/>
      <c r="CP484" s="84"/>
      <c r="CS484" s="86"/>
      <c r="CT484" s="84"/>
      <c r="CW484" s="86"/>
      <c r="CX484" s="84"/>
      <c r="DA484" s="86"/>
      <c r="DB484" s="84"/>
      <c r="DE484" s="86"/>
      <c r="DF484" s="84"/>
      <c r="DI484" s="86"/>
      <c r="DJ484" s="84"/>
      <c r="DM484" s="86"/>
      <c r="DN484" s="84"/>
      <c r="DQ484" s="86"/>
      <c r="DR484" s="85"/>
      <c r="DS484" s="85"/>
      <c r="DT484" s="84"/>
      <c r="DV484" s="84"/>
      <c r="DW484" s="157"/>
      <c r="EB484" s="84"/>
      <c r="EG484" s="84"/>
      <c r="EK484" s="84"/>
      <c r="EO484" s="84"/>
      <c r="ES484" s="84"/>
      <c r="EW484" s="84"/>
    </row>
    <row r="485" customFormat="false" ht="12.75" hidden="false" customHeight="false" outlineLevel="0" collapsed="false">
      <c r="A485" s="37"/>
      <c r="E485" s="83"/>
      <c r="J485" s="84"/>
      <c r="N485" s="84"/>
      <c r="R485" s="84"/>
      <c r="V485" s="84"/>
      <c r="Z485" s="84"/>
      <c r="AD485" s="84"/>
      <c r="AH485" s="84"/>
      <c r="AL485" s="84"/>
      <c r="AP485" s="84"/>
      <c r="AT485" s="84"/>
      <c r="AX485" s="84"/>
      <c r="BB485" s="85"/>
      <c r="BC485" s="84"/>
      <c r="BD485" s="84"/>
      <c r="BF485" s="84"/>
      <c r="BL485" s="84"/>
      <c r="BP485" s="86"/>
      <c r="BV485" s="84"/>
      <c r="CA485" s="84"/>
      <c r="CF485" s="84"/>
      <c r="CK485" s="84"/>
      <c r="CP485" s="84"/>
      <c r="CS485" s="86"/>
      <c r="CT485" s="84"/>
      <c r="CW485" s="86"/>
      <c r="CX485" s="84"/>
      <c r="DA485" s="86"/>
      <c r="DB485" s="84"/>
      <c r="DE485" s="86"/>
      <c r="DF485" s="84"/>
      <c r="DI485" s="86"/>
      <c r="DJ485" s="84"/>
      <c r="DM485" s="86"/>
      <c r="DN485" s="84"/>
      <c r="DQ485" s="86"/>
      <c r="DR485" s="85"/>
      <c r="DS485" s="85"/>
      <c r="DT485" s="84"/>
      <c r="DV485" s="84"/>
      <c r="DW485" s="157"/>
      <c r="EB485" s="84"/>
      <c r="EG485" s="84"/>
      <c r="EK485" s="84"/>
      <c r="EO485" s="84"/>
      <c r="ES485" s="84"/>
      <c r="EW485" s="84"/>
    </row>
    <row r="486" customFormat="false" ht="12.75" hidden="false" customHeight="false" outlineLevel="0" collapsed="false">
      <c r="A486" s="37"/>
      <c r="E486" s="83"/>
      <c r="J486" s="84"/>
      <c r="N486" s="84"/>
      <c r="R486" s="84"/>
      <c r="V486" s="84"/>
      <c r="Z486" s="84"/>
      <c r="AD486" s="84"/>
      <c r="AH486" s="84"/>
      <c r="AL486" s="84"/>
      <c r="AP486" s="84"/>
      <c r="AT486" s="84"/>
      <c r="AX486" s="84"/>
      <c r="BB486" s="85"/>
      <c r="BC486" s="84"/>
      <c r="BD486" s="84"/>
      <c r="BF486" s="84"/>
      <c r="BL486" s="84"/>
      <c r="BP486" s="86"/>
      <c r="BV486" s="84"/>
      <c r="CA486" s="84"/>
      <c r="CF486" s="84"/>
      <c r="CK486" s="84"/>
      <c r="CP486" s="84"/>
      <c r="CS486" s="86"/>
      <c r="CT486" s="84"/>
      <c r="CW486" s="86"/>
      <c r="CX486" s="84"/>
      <c r="DA486" s="86"/>
      <c r="DB486" s="84"/>
      <c r="DE486" s="86"/>
      <c r="DF486" s="84"/>
      <c r="DI486" s="86"/>
      <c r="DJ486" s="84"/>
      <c r="DM486" s="86"/>
      <c r="DN486" s="84"/>
      <c r="DQ486" s="86"/>
      <c r="DR486" s="85"/>
      <c r="DS486" s="85"/>
      <c r="DT486" s="84"/>
      <c r="DV486" s="84"/>
      <c r="DW486" s="157"/>
      <c r="EB486" s="84"/>
      <c r="EG486" s="84"/>
      <c r="EK486" s="84"/>
      <c r="EO486" s="84"/>
      <c r="ES486" s="84"/>
      <c r="EW486" s="84"/>
    </row>
    <row r="487" customFormat="false" ht="12.75" hidden="false" customHeight="false" outlineLevel="0" collapsed="false">
      <c r="A487" s="37"/>
      <c r="E487" s="83"/>
      <c r="J487" s="84"/>
      <c r="N487" s="84"/>
      <c r="R487" s="84"/>
      <c r="V487" s="84"/>
      <c r="Z487" s="84"/>
      <c r="AD487" s="84"/>
      <c r="AH487" s="84"/>
      <c r="AL487" s="84"/>
      <c r="AP487" s="84"/>
      <c r="AT487" s="84"/>
      <c r="AX487" s="84"/>
      <c r="BB487" s="85"/>
      <c r="BC487" s="84"/>
      <c r="BD487" s="84"/>
      <c r="BF487" s="84"/>
      <c r="BL487" s="84"/>
      <c r="BP487" s="86"/>
      <c r="BV487" s="84"/>
      <c r="CA487" s="84"/>
      <c r="CF487" s="84"/>
      <c r="CK487" s="84"/>
      <c r="CP487" s="84"/>
      <c r="CS487" s="86"/>
      <c r="CT487" s="84"/>
      <c r="CW487" s="86"/>
      <c r="CX487" s="84"/>
      <c r="DA487" s="86"/>
      <c r="DB487" s="84"/>
      <c r="DE487" s="86"/>
      <c r="DF487" s="84"/>
      <c r="DI487" s="86"/>
      <c r="DJ487" s="84"/>
      <c r="DM487" s="86"/>
      <c r="DN487" s="84"/>
      <c r="DQ487" s="86"/>
      <c r="DR487" s="85"/>
      <c r="DS487" s="85"/>
      <c r="DT487" s="84"/>
      <c r="DV487" s="84"/>
      <c r="DW487" s="157"/>
      <c r="EB487" s="84"/>
      <c r="EG487" s="84"/>
      <c r="EK487" s="84"/>
      <c r="EO487" s="84"/>
      <c r="ES487" s="84"/>
      <c r="EW487" s="84"/>
    </row>
    <row r="488" customFormat="false" ht="12.75" hidden="false" customHeight="false" outlineLevel="0" collapsed="false">
      <c r="A488" s="37"/>
      <c r="E488" s="83"/>
      <c r="J488" s="84"/>
      <c r="N488" s="84"/>
      <c r="R488" s="84"/>
      <c r="V488" s="84"/>
      <c r="Z488" s="84"/>
      <c r="AD488" s="84"/>
      <c r="AH488" s="84"/>
      <c r="AL488" s="84"/>
      <c r="AP488" s="84"/>
      <c r="AT488" s="84"/>
      <c r="AX488" s="84"/>
      <c r="BB488" s="85"/>
      <c r="BC488" s="84"/>
      <c r="BD488" s="84"/>
      <c r="BF488" s="84"/>
      <c r="BL488" s="84"/>
      <c r="BP488" s="86"/>
      <c r="BV488" s="84"/>
      <c r="CA488" s="84"/>
      <c r="CF488" s="84"/>
      <c r="CK488" s="84"/>
      <c r="CP488" s="84"/>
      <c r="CS488" s="86"/>
      <c r="CT488" s="84"/>
      <c r="CW488" s="86"/>
      <c r="CX488" s="84"/>
      <c r="DA488" s="86"/>
      <c r="DB488" s="84"/>
      <c r="DE488" s="86"/>
      <c r="DF488" s="84"/>
      <c r="DI488" s="86"/>
      <c r="DJ488" s="84"/>
      <c r="DM488" s="86"/>
      <c r="DN488" s="84"/>
      <c r="DQ488" s="86"/>
      <c r="DR488" s="85"/>
      <c r="DS488" s="85"/>
      <c r="DT488" s="84"/>
      <c r="DV488" s="84"/>
      <c r="DW488" s="157"/>
      <c r="EB488" s="84"/>
      <c r="EG488" s="84"/>
      <c r="EK488" s="84"/>
      <c r="EO488" s="84"/>
      <c r="ES488" s="84"/>
      <c r="EW488" s="84"/>
    </row>
    <row r="489" customFormat="false" ht="12.75" hidden="false" customHeight="false" outlineLevel="0" collapsed="false">
      <c r="A489" s="37"/>
      <c r="E489" s="83"/>
      <c r="J489" s="84"/>
      <c r="N489" s="84"/>
      <c r="R489" s="84"/>
      <c r="V489" s="84"/>
      <c r="Z489" s="84"/>
      <c r="AD489" s="84"/>
      <c r="AH489" s="84"/>
      <c r="AL489" s="84"/>
      <c r="AP489" s="84"/>
      <c r="AT489" s="84"/>
      <c r="AX489" s="84"/>
      <c r="BB489" s="85"/>
      <c r="BC489" s="84"/>
      <c r="BD489" s="84"/>
      <c r="BF489" s="84"/>
      <c r="BL489" s="84"/>
      <c r="BP489" s="86"/>
      <c r="BV489" s="84"/>
      <c r="CA489" s="84"/>
      <c r="CF489" s="84"/>
      <c r="CK489" s="84"/>
      <c r="CP489" s="84"/>
      <c r="CS489" s="86"/>
      <c r="CT489" s="84"/>
      <c r="CW489" s="86"/>
      <c r="CX489" s="84"/>
      <c r="DA489" s="86"/>
      <c r="DB489" s="84"/>
      <c r="DE489" s="86"/>
      <c r="DF489" s="84"/>
      <c r="DI489" s="86"/>
      <c r="DJ489" s="84"/>
      <c r="DM489" s="86"/>
      <c r="DN489" s="84"/>
      <c r="DQ489" s="86"/>
      <c r="DR489" s="85"/>
      <c r="DS489" s="85"/>
      <c r="DT489" s="84"/>
      <c r="DV489" s="84"/>
      <c r="DW489" s="157"/>
      <c r="EB489" s="84"/>
      <c r="EG489" s="84"/>
      <c r="EK489" s="84"/>
      <c r="EO489" s="84"/>
      <c r="ES489" s="84"/>
      <c r="EW489" s="84"/>
    </row>
    <row r="490" customFormat="false" ht="12.75" hidden="false" customHeight="false" outlineLevel="0" collapsed="false">
      <c r="A490" s="37"/>
      <c r="E490" s="83"/>
      <c r="J490" s="84"/>
      <c r="N490" s="84"/>
      <c r="R490" s="84"/>
      <c r="V490" s="84"/>
      <c r="Z490" s="84"/>
      <c r="AD490" s="84"/>
      <c r="AH490" s="84"/>
      <c r="AL490" s="84"/>
      <c r="AP490" s="84"/>
      <c r="AT490" s="84"/>
      <c r="AX490" s="84"/>
      <c r="BB490" s="85"/>
      <c r="BC490" s="84"/>
      <c r="BD490" s="84"/>
      <c r="BF490" s="84"/>
      <c r="BL490" s="84"/>
      <c r="BP490" s="86"/>
      <c r="BV490" s="84"/>
      <c r="CA490" s="84"/>
      <c r="CF490" s="84"/>
      <c r="CK490" s="84"/>
      <c r="CP490" s="84"/>
      <c r="CS490" s="86"/>
      <c r="CT490" s="84"/>
      <c r="CW490" s="86"/>
      <c r="CX490" s="84"/>
      <c r="DA490" s="86"/>
      <c r="DB490" s="84"/>
      <c r="DE490" s="86"/>
      <c r="DF490" s="84"/>
      <c r="DI490" s="86"/>
      <c r="DJ490" s="84"/>
      <c r="DM490" s="86"/>
      <c r="DN490" s="84"/>
      <c r="DQ490" s="86"/>
      <c r="DR490" s="85"/>
      <c r="DS490" s="85"/>
      <c r="DT490" s="84"/>
      <c r="DV490" s="84"/>
      <c r="DW490" s="157"/>
      <c r="EB490" s="84"/>
      <c r="EG490" s="84"/>
      <c r="EK490" s="84"/>
      <c r="EO490" s="84"/>
      <c r="ES490" s="84"/>
      <c r="EW490" s="84"/>
    </row>
    <row r="491" customFormat="false" ht="12.75" hidden="false" customHeight="false" outlineLevel="0" collapsed="false">
      <c r="A491" s="37"/>
      <c r="E491" s="83"/>
      <c r="J491" s="84"/>
      <c r="N491" s="84"/>
      <c r="R491" s="84"/>
      <c r="V491" s="84"/>
      <c r="Z491" s="84"/>
      <c r="AD491" s="84"/>
      <c r="AH491" s="84"/>
      <c r="AL491" s="84"/>
      <c r="AP491" s="84"/>
      <c r="AT491" s="84"/>
      <c r="AX491" s="84"/>
      <c r="BB491" s="85"/>
      <c r="BC491" s="84"/>
      <c r="BD491" s="84"/>
      <c r="BF491" s="84"/>
      <c r="BL491" s="84"/>
      <c r="BP491" s="86"/>
      <c r="BV491" s="84"/>
      <c r="CA491" s="84"/>
      <c r="CF491" s="84"/>
      <c r="CK491" s="84"/>
      <c r="CP491" s="84"/>
      <c r="CS491" s="86"/>
      <c r="CT491" s="84"/>
      <c r="CW491" s="86"/>
      <c r="CX491" s="84"/>
      <c r="DA491" s="86"/>
      <c r="DB491" s="84"/>
      <c r="DE491" s="86"/>
      <c r="DF491" s="84"/>
      <c r="DI491" s="86"/>
      <c r="DJ491" s="84"/>
      <c r="DM491" s="86"/>
      <c r="DN491" s="84"/>
      <c r="DQ491" s="86"/>
      <c r="DR491" s="85"/>
      <c r="DS491" s="85"/>
      <c r="DT491" s="84"/>
      <c r="DV491" s="84"/>
      <c r="DW491" s="157"/>
      <c r="EB491" s="84"/>
      <c r="EG491" s="84"/>
      <c r="EK491" s="84"/>
      <c r="EO491" s="84"/>
      <c r="ES491" s="84"/>
      <c r="EW491" s="84"/>
    </row>
    <row r="492" customFormat="false" ht="12.75" hidden="false" customHeight="false" outlineLevel="0" collapsed="false">
      <c r="A492" s="37"/>
      <c r="E492" s="83"/>
      <c r="J492" s="84"/>
      <c r="N492" s="84"/>
      <c r="R492" s="84"/>
      <c r="V492" s="84"/>
      <c r="Z492" s="84"/>
      <c r="AD492" s="84"/>
      <c r="AH492" s="84"/>
      <c r="AL492" s="84"/>
      <c r="AP492" s="84"/>
      <c r="AT492" s="84"/>
      <c r="AX492" s="84"/>
      <c r="BB492" s="85"/>
      <c r="BC492" s="84"/>
      <c r="BD492" s="84"/>
      <c r="BF492" s="84"/>
      <c r="BL492" s="84"/>
      <c r="BP492" s="86"/>
      <c r="BV492" s="84"/>
      <c r="CA492" s="84"/>
      <c r="CF492" s="84"/>
      <c r="CK492" s="84"/>
      <c r="CP492" s="84"/>
      <c r="CS492" s="86"/>
      <c r="CT492" s="84"/>
      <c r="CW492" s="86"/>
      <c r="CX492" s="84"/>
      <c r="DA492" s="86"/>
      <c r="DB492" s="84"/>
      <c r="DE492" s="86"/>
      <c r="DF492" s="84"/>
      <c r="DI492" s="86"/>
      <c r="DJ492" s="84"/>
      <c r="DM492" s="86"/>
      <c r="DN492" s="84"/>
      <c r="DQ492" s="86"/>
      <c r="DR492" s="85"/>
      <c r="DS492" s="85"/>
      <c r="DT492" s="84"/>
      <c r="DV492" s="84"/>
      <c r="DW492" s="157"/>
      <c r="EB492" s="84"/>
      <c r="EG492" s="84"/>
      <c r="EK492" s="84"/>
      <c r="EO492" s="84"/>
      <c r="ES492" s="84"/>
      <c r="EW492" s="84"/>
    </row>
    <row r="493" customFormat="false" ht="12.75" hidden="false" customHeight="false" outlineLevel="0" collapsed="false">
      <c r="A493" s="37"/>
      <c r="E493" s="83"/>
      <c r="J493" s="84"/>
      <c r="N493" s="84"/>
      <c r="R493" s="84"/>
      <c r="V493" s="84"/>
      <c r="Z493" s="84"/>
      <c r="AD493" s="84"/>
      <c r="AH493" s="84"/>
      <c r="AL493" s="84"/>
      <c r="AP493" s="84"/>
      <c r="AT493" s="84"/>
      <c r="AX493" s="84"/>
      <c r="BB493" s="85"/>
      <c r="BC493" s="84"/>
      <c r="BD493" s="84"/>
      <c r="BF493" s="84"/>
      <c r="BL493" s="84"/>
      <c r="BP493" s="86"/>
      <c r="BV493" s="84"/>
      <c r="CA493" s="84"/>
      <c r="CF493" s="84"/>
      <c r="CK493" s="84"/>
      <c r="CP493" s="84"/>
      <c r="CS493" s="86"/>
      <c r="CT493" s="84"/>
      <c r="CW493" s="86"/>
      <c r="CX493" s="84"/>
      <c r="DA493" s="86"/>
      <c r="DB493" s="84"/>
      <c r="DE493" s="86"/>
      <c r="DF493" s="84"/>
      <c r="DI493" s="86"/>
      <c r="DJ493" s="84"/>
      <c r="DM493" s="86"/>
      <c r="DN493" s="84"/>
      <c r="DQ493" s="86"/>
      <c r="DR493" s="85"/>
      <c r="DS493" s="85"/>
      <c r="DT493" s="84"/>
      <c r="DV493" s="84"/>
      <c r="DW493" s="157"/>
      <c r="EB493" s="84"/>
      <c r="EG493" s="84"/>
      <c r="EK493" s="84"/>
      <c r="EO493" s="84"/>
      <c r="ES493" s="84"/>
      <c r="EW493" s="84"/>
    </row>
    <row r="494" customFormat="false" ht="12.75" hidden="false" customHeight="false" outlineLevel="0" collapsed="false">
      <c r="A494" s="37"/>
      <c r="E494" s="83"/>
      <c r="J494" s="84"/>
      <c r="N494" s="84"/>
      <c r="R494" s="84"/>
      <c r="V494" s="84"/>
      <c r="Z494" s="84"/>
      <c r="AD494" s="84"/>
      <c r="AH494" s="84"/>
      <c r="AL494" s="84"/>
      <c r="AP494" s="84"/>
      <c r="AT494" s="84"/>
      <c r="AX494" s="84"/>
      <c r="BB494" s="85"/>
      <c r="BC494" s="84"/>
      <c r="BD494" s="84"/>
      <c r="BF494" s="84"/>
      <c r="BL494" s="84"/>
      <c r="BP494" s="86"/>
      <c r="BV494" s="84"/>
      <c r="CA494" s="84"/>
      <c r="CF494" s="84"/>
      <c r="CK494" s="84"/>
      <c r="CP494" s="84"/>
      <c r="CS494" s="86"/>
      <c r="CT494" s="84"/>
      <c r="CW494" s="86"/>
      <c r="CX494" s="84"/>
      <c r="DA494" s="86"/>
      <c r="DB494" s="84"/>
      <c r="DE494" s="86"/>
      <c r="DF494" s="84"/>
      <c r="DI494" s="86"/>
      <c r="DJ494" s="84"/>
      <c r="DM494" s="86"/>
      <c r="DN494" s="84"/>
      <c r="DQ494" s="86"/>
      <c r="DR494" s="85"/>
      <c r="DS494" s="85"/>
      <c r="DT494" s="84"/>
      <c r="DV494" s="84"/>
      <c r="DW494" s="157"/>
      <c r="EB494" s="84"/>
      <c r="EG494" s="84"/>
      <c r="EK494" s="84"/>
      <c r="EO494" s="84"/>
      <c r="ES494" s="84"/>
      <c r="EW494" s="84"/>
    </row>
    <row r="495" customFormat="false" ht="12.75" hidden="false" customHeight="false" outlineLevel="0" collapsed="false">
      <c r="A495" s="37"/>
      <c r="E495" s="83"/>
      <c r="J495" s="84"/>
      <c r="N495" s="84"/>
      <c r="R495" s="84"/>
      <c r="V495" s="84"/>
      <c r="Z495" s="84"/>
      <c r="AD495" s="84"/>
      <c r="AH495" s="84"/>
      <c r="AL495" s="84"/>
      <c r="AP495" s="84"/>
      <c r="AT495" s="84"/>
      <c r="AX495" s="84"/>
      <c r="BB495" s="85"/>
      <c r="BC495" s="84"/>
      <c r="BD495" s="84"/>
      <c r="BF495" s="84"/>
      <c r="BL495" s="84"/>
      <c r="BP495" s="86"/>
      <c r="BV495" s="84"/>
      <c r="CA495" s="84"/>
      <c r="CF495" s="84"/>
      <c r="CK495" s="84"/>
      <c r="CP495" s="84"/>
      <c r="CS495" s="86"/>
      <c r="CT495" s="84"/>
      <c r="CW495" s="86"/>
      <c r="CX495" s="84"/>
      <c r="DA495" s="86"/>
      <c r="DB495" s="84"/>
      <c r="DE495" s="86"/>
      <c r="DF495" s="84"/>
      <c r="DI495" s="86"/>
      <c r="DJ495" s="84"/>
      <c r="DM495" s="86"/>
      <c r="DN495" s="84"/>
      <c r="DQ495" s="86"/>
      <c r="DR495" s="85"/>
      <c r="DS495" s="85"/>
      <c r="DT495" s="84"/>
      <c r="DV495" s="84"/>
      <c r="DW495" s="157"/>
      <c r="EB495" s="84"/>
      <c r="EG495" s="84"/>
      <c r="EK495" s="84"/>
      <c r="EO495" s="84"/>
      <c r="ES495" s="84"/>
      <c r="EW495" s="84"/>
    </row>
    <row r="496" customFormat="false" ht="12.75" hidden="false" customHeight="false" outlineLevel="0" collapsed="false">
      <c r="A496" s="37"/>
      <c r="E496" s="83"/>
      <c r="J496" s="84"/>
      <c r="N496" s="84"/>
      <c r="R496" s="84"/>
      <c r="V496" s="84"/>
      <c r="Z496" s="84"/>
      <c r="AD496" s="84"/>
      <c r="AH496" s="84"/>
      <c r="AL496" s="84"/>
      <c r="AP496" s="84"/>
      <c r="AT496" s="84"/>
      <c r="AX496" s="84"/>
      <c r="BB496" s="85"/>
      <c r="BC496" s="84"/>
      <c r="BD496" s="84"/>
      <c r="BF496" s="84"/>
      <c r="BL496" s="84"/>
      <c r="BP496" s="86"/>
      <c r="BV496" s="84"/>
      <c r="CA496" s="84"/>
      <c r="CF496" s="84"/>
      <c r="CK496" s="84"/>
      <c r="CP496" s="84"/>
      <c r="CS496" s="86"/>
      <c r="CT496" s="84"/>
      <c r="CW496" s="86"/>
      <c r="CX496" s="84"/>
      <c r="DA496" s="86"/>
      <c r="DB496" s="84"/>
      <c r="DE496" s="86"/>
      <c r="DF496" s="84"/>
      <c r="DI496" s="86"/>
      <c r="DJ496" s="84"/>
      <c r="DM496" s="86"/>
      <c r="DN496" s="84"/>
      <c r="DQ496" s="86"/>
      <c r="DR496" s="85"/>
      <c r="DS496" s="85"/>
      <c r="DT496" s="84"/>
      <c r="DV496" s="84"/>
      <c r="DW496" s="157"/>
      <c r="EB496" s="84"/>
      <c r="EG496" s="84"/>
      <c r="EK496" s="84"/>
      <c r="EO496" s="84"/>
      <c r="ES496" s="84"/>
      <c r="EW496" s="84"/>
    </row>
    <row r="497" customFormat="false" ht="12.75" hidden="false" customHeight="false" outlineLevel="0" collapsed="false">
      <c r="A497" s="37"/>
      <c r="E497" s="83"/>
      <c r="J497" s="84"/>
      <c r="N497" s="84"/>
      <c r="R497" s="84"/>
      <c r="V497" s="84"/>
      <c r="Z497" s="84"/>
      <c r="AD497" s="84"/>
      <c r="AH497" s="84"/>
      <c r="AL497" s="84"/>
      <c r="AP497" s="84"/>
      <c r="AT497" s="84"/>
      <c r="AX497" s="84"/>
      <c r="BB497" s="85"/>
      <c r="BC497" s="84"/>
      <c r="BD497" s="84"/>
      <c r="BF497" s="84"/>
      <c r="BL497" s="84"/>
      <c r="BP497" s="86"/>
      <c r="BV497" s="84"/>
      <c r="CA497" s="84"/>
      <c r="CF497" s="84"/>
      <c r="CK497" s="84"/>
      <c r="CP497" s="84"/>
      <c r="CS497" s="86"/>
      <c r="CT497" s="84"/>
      <c r="CW497" s="86"/>
      <c r="CX497" s="84"/>
      <c r="DA497" s="86"/>
      <c r="DB497" s="84"/>
      <c r="DE497" s="86"/>
      <c r="DF497" s="84"/>
      <c r="DI497" s="86"/>
      <c r="DJ497" s="84"/>
      <c r="DM497" s="86"/>
      <c r="DN497" s="84"/>
      <c r="DQ497" s="86"/>
      <c r="DR497" s="85"/>
      <c r="DS497" s="85"/>
      <c r="DT497" s="84"/>
      <c r="DV497" s="84"/>
      <c r="DW497" s="157"/>
      <c r="EB497" s="84"/>
      <c r="EG497" s="84"/>
      <c r="EK497" s="84"/>
      <c r="EO497" s="84"/>
      <c r="ES497" s="84"/>
      <c r="EW497" s="84"/>
    </row>
    <row r="498" customFormat="false" ht="12.75" hidden="false" customHeight="false" outlineLevel="0" collapsed="false">
      <c r="A498" s="37"/>
      <c r="E498" s="83"/>
      <c r="J498" s="84"/>
      <c r="N498" s="84"/>
      <c r="R498" s="84"/>
      <c r="V498" s="84"/>
      <c r="Z498" s="84"/>
      <c r="AD498" s="84"/>
      <c r="AH498" s="84"/>
      <c r="AL498" s="84"/>
      <c r="AP498" s="84"/>
      <c r="AT498" s="84"/>
      <c r="AX498" s="84"/>
      <c r="BB498" s="85"/>
      <c r="BC498" s="84"/>
      <c r="BD498" s="84"/>
      <c r="BF498" s="84"/>
      <c r="BL498" s="84"/>
      <c r="BP498" s="86"/>
      <c r="BV498" s="84"/>
      <c r="CA498" s="84"/>
      <c r="CF498" s="84"/>
      <c r="CK498" s="84"/>
      <c r="CP498" s="84"/>
      <c r="CS498" s="86"/>
      <c r="CT498" s="84"/>
      <c r="CW498" s="86"/>
      <c r="CX498" s="84"/>
      <c r="DA498" s="86"/>
      <c r="DB498" s="84"/>
      <c r="DE498" s="86"/>
      <c r="DF498" s="84"/>
      <c r="DI498" s="86"/>
      <c r="DJ498" s="84"/>
      <c r="DM498" s="86"/>
      <c r="DN498" s="84"/>
      <c r="DQ498" s="86"/>
      <c r="DR498" s="85"/>
      <c r="DS498" s="85"/>
      <c r="DT498" s="84"/>
      <c r="DV498" s="84"/>
      <c r="DW498" s="157"/>
      <c r="EB498" s="84"/>
      <c r="EG498" s="84"/>
      <c r="EK498" s="84"/>
      <c r="EO498" s="84"/>
      <c r="ES498" s="84"/>
      <c r="EW498" s="84"/>
    </row>
    <row r="499" customFormat="false" ht="12.75" hidden="false" customHeight="false" outlineLevel="0" collapsed="false">
      <c r="A499" s="37"/>
      <c r="E499" s="83"/>
      <c r="J499" s="84"/>
      <c r="N499" s="84"/>
      <c r="R499" s="84"/>
      <c r="V499" s="84"/>
      <c r="Z499" s="84"/>
      <c r="AD499" s="84"/>
      <c r="AH499" s="84"/>
      <c r="AL499" s="84"/>
      <c r="AP499" s="84"/>
      <c r="AT499" s="84"/>
      <c r="AX499" s="84"/>
      <c r="BB499" s="85"/>
      <c r="BC499" s="84"/>
      <c r="BD499" s="84"/>
      <c r="BF499" s="84"/>
      <c r="BL499" s="84"/>
      <c r="BP499" s="86"/>
      <c r="BV499" s="84"/>
      <c r="CA499" s="84"/>
      <c r="CF499" s="84"/>
      <c r="CK499" s="84"/>
      <c r="CP499" s="84"/>
      <c r="CS499" s="86"/>
      <c r="CT499" s="84"/>
      <c r="CW499" s="86"/>
      <c r="CX499" s="84"/>
      <c r="DA499" s="86"/>
      <c r="DB499" s="84"/>
      <c r="DE499" s="86"/>
      <c r="DF499" s="84"/>
      <c r="DI499" s="86"/>
      <c r="DJ499" s="84"/>
      <c r="DM499" s="86"/>
      <c r="DN499" s="84"/>
      <c r="DQ499" s="86"/>
      <c r="DR499" s="85"/>
      <c r="DS499" s="85"/>
      <c r="DT499" s="84"/>
      <c r="DV499" s="84"/>
      <c r="DW499" s="157"/>
      <c r="EB499" s="84"/>
      <c r="EG499" s="84"/>
      <c r="EK499" s="84"/>
      <c r="EO499" s="84"/>
      <c r="ES499" s="84"/>
      <c r="EW499" s="84"/>
    </row>
    <row r="500" customFormat="false" ht="12.75" hidden="false" customHeight="false" outlineLevel="0" collapsed="false">
      <c r="A500" s="37"/>
      <c r="E500" s="83"/>
      <c r="J500" s="84"/>
      <c r="N500" s="84"/>
      <c r="R500" s="84"/>
      <c r="V500" s="84"/>
      <c r="Z500" s="84"/>
      <c r="AD500" s="84"/>
      <c r="AH500" s="84"/>
      <c r="AL500" s="84"/>
      <c r="AP500" s="84"/>
      <c r="AT500" s="84"/>
      <c r="AX500" s="84"/>
      <c r="BB500" s="85"/>
      <c r="BC500" s="84"/>
      <c r="BD500" s="84"/>
      <c r="BF500" s="84"/>
      <c r="BL500" s="84"/>
      <c r="BP500" s="86"/>
      <c r="BV500" s="84"/>
      <c r="CA500" s="84"/>
      <c r="CF500" s="84"/>
      <c r="CK500" s="84"/>
      <c r="CP500" s="84"/>
      <c r="CS500" s="86"/>
      <c r="CT500" s="84"/>
      <c r="CW500" s="86"/>
      <c r="CX500" s="84"/>
      <c r="DA500" s="86"/>
      <c r="DB500" s="84"/>
      <c r="DE500" s="86"/>
      <c r="DF500" s="84"/>
      <c r="DI500" s="86"/>
      <c r="DJ500" s="84"/>
      <c r="DM500" s="86"/>
      <c r="DN500" s="84"/>
      <c r="DQ500" s="86"/>
      <c r="DR500" s="85"/>
      <c r="DS500" s="85"/>
      <c r="DT500" s="84"/>
      <c r="DV500" s="84"/>
      <c r="DW500" s="157"/>
      <c r="EB500" s="84"/>
      <c r="EG500" s="84"/>
      <c r="EK500" s="84"/>
      <c r="EO500" s="84"/>
      <c r="ES500" s="84"/>
      <c r="EW500" s="84"/>
    </row>
    <row r="501" customFormat="false" ht="12.75" hidden="false" customHeight="false" outlineLevel="0" collapsed="false">
      <c r="A501" s="37"/>
      <c r="E501" s="83"/>
      <c r="J501" s="84"/>
      <c r="N501" s="84"/>
      <c r="R501" s="84"/>
      <c r="V501" s="84"/>
      <c r="Z501" s="84"/>
      <c r="AD501" s="84"/>
      <c r="AH501" s="84"/>
      <c r="AL501" s="84"/>
      <c r="AP501" s="84"/>
      <c r="AT501" s="84"/>
      <c r="AX501" s="84"/>
      <c r="BB501" s="85"/>
      <c r="BC501" s="84"/>
      <c r="BD501" s="84"/>
      <c r="BF501" s="84"/>
      <c r="BL501" s="84"/>
      <c r="BP501" s="86"/>
      <c r="BV501" s="84"/>
      <c r="CA501" s="84"/>
      <c r="CF501" s="84"/>
      <c r="CK501" s="84"/>
      <c r="CP501" s="84"/>
      <c r="CS501" s="86"/>
      <c r="CT501" s="84"/>
      <c r="CW501" s="86"/>
      <c r="CX501" s="84"/>
      <c r="DA501" s="86"/>
      <c r="DB501" s="84"/>
      <c r="DE501" s="86"/>
      <c r="DF501" s="84"/>
      <c r="DI501" s="86"/>
      <c r="DJ501" s="84"/>
      <c r="DM501" s="86"/>
      <c r="DN501" s="84"/>
      <c r="DQ501" s="86"/>
      <c r="DR501" s="85"/>
      <c r="DS501" s="85"/>
      <c r="DT501" s="84"/>
      <c r="DV501" s="84"/>
      <c r="DW501" s="157"/>
      <c r="EB501" s="84"/>
      <c r="EG501" s="84"/>
      <c r="EK501" s="84"/>
      <c r="EO501" s="84"/>
      <c r="ES501" s="84"/>
      <c r="EW501" s="84"/>
    </row>
    <row r="502" customFormat="false" ht="12.75" hidden="false" customHeight="false" outlineLevel="0" collapsed="false">
      <c r="A502" s="37"/>
      <c r="E502" s="83"/>
      <c r="J502" s="84"/>
      <c r="N502" s="84"/>
      <c r="R502" s="84"/>
      <c r="V502" s="84"/>
      <c r="Z502" s="84"/>
      <c r="AD502" s="84"/>
      <c r="AH502" s="84"/>
      <c r="AL502" s="84"/>
      <c r="AP502" s="84"/>
      <c r="AT502" s="84"/>
      <c r="AX502" s="84"/>
      <c r="BB502" s="85"/>
      <c r="BC502" s="84"/>
      <c r="BD502" s="84"/>
      <c r="BF502" s="84"/>
      <c r="BL502" s="84"/>
      <c r="BP502" s="86"/>
      <c r="BV502" s="84"/>
      <c r="CA502" s="84"/>
      <c r="CF502" s="84"/>
      <c r="CK502" s="84"/>
      <c r="CP502" s="84"/>
      <c r="CS502" s="86"/>
      <c r="CT502" s="84"/>
      <c r="CW502" s="86"/>
      <c r="CX502" s="84"/>
      <c r="DA502" s="86"/>
      <c r="DB502" s="84"/>
      <c r="DE502" s="86"/>
      <c r="DF502" s="84"/>
      <c r="DI502" s="86"/>
      <c r="DJ502" s="84"/>
      <c r="DM502" s="86"/>
      <c r="DN502" s="84"/>
      <c r="DQ502" s="86"/>
      <c r="DR502" s="85"/>
      <c r="DS502" s="85"/>
      <c r="DT502" s="84"/>
      <c r="DV502" s="84"/>
      <c r="DW502" s="157"/>
      <c r="EB502" s="84"/>
      <c r="EG502" s="84"/>
      <c r="EK502" s="84"/>
      <c r="EO502" s="84"/>
      <c r="ES502" s="84"/>
      <c r="EW502" s="84"/>
    </row>
    <row r="503" customFormat="false" ht="12.75" hidden="false" customHeight="false" outlineLevel="0" collapsed="false">
      <c r="A503" s="37"/>
      <c r="E503" s="83"/>
      <c r="J503" s="84"/>
      <c r="N503" s="84"/>
      <c r="R503" s="84"/>
      <c r="V503" s="84"/>
      <c r="Z503" s="84"/>
      <c r="AD503" s="84"/>
      <c r="AH503" s="84"/>
      <c r="AL503" s="84"/>
      <c r="AP503" s="84"/>
      <c r="AT503" s="84"/>
      <c r="AX503" s="84"/>
      <c r="BB503" s="85"/>
      <c r="BC503" s="84"/>
      <c r="BD503" s="84"/>
      <c r="BF503" s="84"/>
      <c r="BL503" s="84"/>
      <c r="BP503" s="86"/>
      <c r="BV503" s="84"/>
      <c r="CA503" s="84"/>
      <c r="CF503" s="84"/>
      <c r="CK503" s="84"/>
      <c r="CP503" s="84"/>
      <c r="CS503" s="86"/>
      <c r="CT503" s="84"/>
      <c r="CW503" s="86"/>
      <c r="CX503" s="84"/>
      <c r="DA503" s="86"/>
      <c r="DB503" s="84"/>
      <c r="DE503" s="86"/>
      <c r="DF503" s="84"/>
      <c r="DI503" s="86"/>
      <c r="DJ503" s="84"/>
      <c r="DM503" s="86"/>
      <c r="DN503" s="84"/>
      <c r="DQ503" s="86"/>
      <c r="DR503" s="85"/>
      <c r="DS503" s="85"/>
      <c r="DT503" s="84"/>
      <c r="DV503" s="84"/>
      <c r="DW503" s="157"/>
      <c r="EB503" s="84"/>
      <c r="EG503" s="84"/>
      <c r="EK503" s="84"/>
      <c r="EO503" s="84"/>
      <c r="ES503" s="84"/>
      <c r="EW503" s="84"/>
    </row>
    <row r="504" customFormat="false" ht="12.75" hidden="false" customHeight="false" outlineLevel="0" collapsed="false">
      <c r="A504" s="37"/>
      <c r="E504" s="83"/>
      <c r="J504" s="84"/>
      <c r="N504" s="84"/>
      <c r="R504" s="84"/>
      <c r="V504" s="84"/>
      <c r="Z504" s="84"/>
      <c r="AD504" s="84"/>
      <c r="AH504" s="84"/>
      <c r="AL504" s="84"/>
      <c r="AP504" s="84"/>
      <c r="AT504" s="84"/>
      <c r="AX504" s="84"/>
      <c r="BB504" s="85"/>
      <c r="BC504" s="84"/>
      <c r="BD504" s="84"/>
      <c r="BF504" s="84"/>
      <c r="BL504" s="84"/>
      <c r="BP504" s="86"/>
      <c r="BV504" s="84"/>
      <c r="CA504" s="84"/>
      <c r="CF504" s="84"/>
      <c r="CK504" s="84"/>
      <c r="CP504" s="84"/>
      <c r="CS504" s="86"/>
      <c r="CT504" s="84"/>
      <c r="CW504" s="86"/>
      <c r="CX504" s="84"/>
      <c r="DA504" s="86"/>
      <c r="DB504" s="84"/>
      <c r="DE504" s="86"/>
      <c r="DF504" s="84"/>
      <c r="DI504" s="86"/>
      <c r="DJ504" s="84"/>
      <c r="DM504" s="86"/>
      <c r="DN504" s="84"/>
      <c r="DQ504" s="86"/>
      <c r="DR504" s="85"/>
      <c r="DS504" s="85"/>
      <c r="DT504" s="84"/>
      <c r="DV504" s="84"/>
      <c r="DW504" s="157"/>
      <c r="EB504" s="84"/>
      <c r="EG504" s="84"/>
      <c r="EK504" s="84"/>
      <c r="EO504" s="84"/>
      <c r="ES504" s="84"/>
      <c r="EW504" s="84"/>
    </row>
    <row r="505" customFormat="false" ht="12.75" hidden="false" customHeight="false" outlineLevel="0" collapsed="false">
      <c r="A505" s="37"/>
      <c r="E505" s="83"/>
      <c r="J505" s="84"/>
      <c r="N505" s="84"/>
      <c r="R505" s="84"/>
      <c r="V505" s="84"/>
      <c r="Z505" s="84"/>
      <c r="AD505" s="84"/>
      <c r="AH505" s="84"/>
      <c r="AL505" s="84"/>
      <c r="AP505" s="84"/>
      <c r="AT505" s="84"/>
      <c r="AX505" s="84"/>
      <c r="BB505" s="85"/>
      <c r="BC505" s="84"/>
      <c r="BD505" s="84"/>
      <c r="BF505" s="84"/>
      <c r="BL505" s="84"/>
      <c r="BP505" s="86"/>
      <c r="BV505" s="84"/>
      <c r="CA505" s="84"/>
      <c r="CF505" s="84"/>
      <c r="CK505" s="84"/>
      <c r="CP505" s="84"/>
      <c r="CS505" s="86"/>
      <c r="CT505" s="84"/>
      <c r="CW505" s="86"/>
      <c r="CX505" s="84"/>
      <c r="DA505" s="86"/>
      <c r="DB505" s="84"/>
      <c r="DE505" s="86"/>
      <c r="DF505" s="84"/>
      <c r="DI505" s="86"/>
      <c r="DJ505" s="84"/>
      <c r="DM505" s="86"/>
      <c r="DN505" s="84"/>
      <c r="DQ505" s="86"/>
      <c r="DR505" s="85"/>
      <c r="DS505" s="85"/>
      <c r="DT505" s="84"/>
      <c r="DV505" s="84"/>
      <c r="DW505" s="157"/>
      <c r="EB505" s="84"/>
      <c r="EG505" s="84"/>
      <c r="EK505" s="84"/>
      <c r="EO505" s="84"/>
      <c r="ES505" s="84"/>
      <c r="EW505" s="84"/>
    </row>
    <row r="506" customFormat="false" ht="12.75" hidden="false" customHeight="false" outlineLevel="0" collapsed="false">
      <c r="A506" s="37"/>
      <c r="E506" s="83"/>
      <c r="J506" s="84"/>
      <c r="N506" s="84"/>
      <c r="R506" s="84"/>
      <c r="V506" s="84"/>
      <c r="Z506" s="84"/>
      <c r="AD506" s="84"/>
      <c r="AH506" s="84"/>
      <c r="AL506" s="84"/>
      <c r="AP506" s="84"/>
      <c r="AT506" s="84"/>
      <c r="AX506" s="84"/>
      <c r="BB506" s="85"/>
      <c r="BC506" s="84"/>
      <c r="BD506" s="84"/>
      <c r="BF506" s="84"/>
      <c r="BL506" s="84"/>
      <c r="BP506" s="86"/>
      <c r="BV506" s="84"/>
      <c r="CA506" s="84"/>
      <c r="CF506" s="84"/>
      <c r="CK506" s="84"/>
      <c r="CP506" s="84"/>
      <c r="CS506" s="86"/>
      <c r="CT506" s="84"/>
      <c r="CW506" s="86"/>
      <c r="CX506" s="84"/>
      <c r="DA506" s="86"/>
      <c r="DB506" s="84"/>
      <c r="DE506" s="86"/>
      <c r="DF506" s="84"/>
      <c r="DI506" s="86"/>
      <c r="DJ506" s="84"/>
      <c r="DM506" s="86"/>
      <c r="DN506" s="84"/>
      <c r="DQ506" s="86"/>
      <c r="DR506" s="85"/>
      <c r="DS506" s="85"/>
      <c r="DT506" s="84"/>
      <c r="DV506" s="84"/>
      <c r="DW506" s="157"/>
      <c r="EB506" s="84"/>
      <c r="EG506" s="84"/>
      <c r="EK506" s="84"/>
      <c r="EO506" s="84"/>
      <c r="ES506" s="84"/>
      <c r="EW506" s="84"/>
    </row>
    <row r="507" customFormat="false" ht="12.75" hidden="false" customHeight="false" outlineLevel="0" collapsed="false">
      <c r="A507" s="37"/>
      <c r="E507" s="83"/>
      <c r="J507" s="84"/>
      <c r="N507" s="84"/>
      <c r="R507" s="84"/>
      <c r="V507" s="84"/>
      <c r="Z507" s="84"/>
      <c r="AD507" s="84"/>
      <c r="AH507" s="84"/>
      <c r="AL507" s="84"/>
      <c r="AP507" s="84"/>
      <c r="AT507" s="84"/>
      <c r="AX507" s="84"/>
      <c r="BB507" s="85"/>
      <c r="BC507" s="84"/>
      <c r="BD507" s="84"/>
      <c r="BF507" s="84"/>
      <c r="BL507" s="84"/>
      <c r="BP507" s="86"/>
      <c r="BV507" s="84"/>
      <c r="CA507" s="84"/>
      <c r="CF507" s="84"/>
      <c r="CK507" s="84"/>
      <c r="CP507" s="84"/>
      <c r="CS507" s="86"/>
      <c r="CT507" s="84"/>
      <c r="CW507" s="86"/>
      <c r="CX507" s="84"/>
      <c r="DA507" s="86"/>
      <c r="DB507" s="84"/>
      <c r="DE507" s="86"/>
      <c r="DF507" s="84"/>
      <c r="DI507" s="86"/>
      <c r="DJ507" s="84"/>
      <c r="DM507" s="86"/>
      <c r="DN507" s="84"/>
      <c r="DQ507" s="86"/>
      <c r="DR507" s="85"/>
      <c r="DS507" s="85"/>
      <c r="DT507" s="84"/>
      <c r="DV507" s="84"/>
      <c r="DW507" s="157"/>
      <c r="EB507" s="84"/>
      <c r="EG507" s="84"/>
      <c r="EK507" s="84"/>
      <c r="EO507" s="84"/>
      <c r="ES507" s="84"/>
      <c r="EW507" s="84"/>
    </row>
    <row r="508" customFormat="false" ht="12.75" hidden="false" customHeight="false" outlineLevel="0" collapsed="false">
      <c r="A508" s="37"/>
      <c r="E508" s="83"/>
      <c r="J508" s="84"/>
      <c r="N508" s="84"/>
      <c r="R508" s="84"/>
      <c r="V508" s="84"/>
      <c r="Z508" s="84"/>
      <c r="AD508" s="84"/>
      <c r="AH508" s="84"/>
      <c r="AL508" s="84"/>
      <c r="AP508" s="84"/>
      <c r="AT508" s="84"/>
      <c r="AX508" s="84"/>
      <c r="BB508" s="85"/>
      <c r="BC508" s="84"/>
      <c r="BD508" s="84"/>
      <c r="BF508" s="84"/>
      <c r="BL508" s="84"/>
      <c r="BP508" s="86"/>
      <c r="BV508" s="84"/>
      <c r="CA508" s="84"/>
      <c r="CF508" s="84"/>
      <c r="CK508" s="84"/>
      <c r="CP508" s="84"/>
      <c r="CS508" s="86"/>
      <c r="CT508" s="84"/>
      <c r="CW508" s="86"/>
      <c r="CX508" s="84"/>
      <c r="DA508" s="86"/>
      <c r="DB508" s="84"/>
      <c r="DE508" s="86"/>
      <c r="DF508" s="84"/>
      <c r="DI508" s="86"/>
      <c r="DJ508" s="84"/>
      <c r="DM508" s="86"/>
      <c r="DN508" s="84"/>
      <c r="DQ508" s="86"/>
      <c r="DR508" s="85"/>
      <c r="DS508" s="85"/>
      <c r="DT508" s="84"/>
      <c r="DV508" s="84"/>
      <c r="DW508" s="157"/>
      <c r="EB508" s="84"/>
      <c r="EG508" s="84"/>
      <c r="EK508" s="84"/>
      <c r="EO508" s="84"/>
      <c r="ES508" s="84"/>
      <c r="EW508" s="84"/>
    </row>
    <row r="509" customFormat="false" ht="12.75" hidden="false" customHeight="false" outlineLevel="0" collapsed="false">
      <c r="A509" s="37"/>
      <c r="E509" s="83"/>
      <c r="J509" s="84"/>
      <c r="N509" s="84"/>
      <c r="R509" s="84"/>
      <c r="V509" s="84"/>
      <c r="Z509" s="84"/>
      <c r="AD509" s="84"/>
      <c r="AH509" s="84"/>
      <c r="AL509" s="84"/>
      <c r="AP509" s="84"/>
      <c r="AT509" s="84"/>
      <c r="AX509" s="84"/>
      <c r="BB509" s="85"/>
      <c r="BC509" s="84"/>
      <c r="BD509" s="84"/>
      <c r="BF509" s="84"/>
      <c r="BL509" s="84"/>
      <c r="BP509" s="86"/>
      <c r="BV509" s="84"/>
      <c r="CA509" s="84"/>
      <c r="CF509" s="84"/>
      <c r="CK509" s="84"/>
      <c r="CP509" s="84"/>
      <c r="CS509" s="86"/>
      <c r="CT509" s="84"/>
      <c r="CW509" s="86"/>
      <c r="CX509" s="84"/>
      <c r="DA509" s="86"/>
      <c r="DB509" s="84"/>
      <c r="DE509" s="86"/>
      <c r="DF509" s="84"/>
      <c r="DI509" s="86"/>
      <c r="DJ509" s="84"/>
      <c r="DM509" s="86"/>
      <c r="DN509" s="84"/>
      <c r="DQ509" s="86"/>
      <c r="DR509" s="85"/>
      <c r="DS509" s="85"/>
      <c r="DT509" s="84"/>
      <c r="DV509" s="84"/>
      <c r="DW509" s="157"/>
      <c r="EB509" s="84"/>
      <c r="EG509" s="84"/>
      <c r="EK509" s="84"/>
      <c r="EO509" s="84"/>
      <c r="ES509" s="84"/>
      <c r="EW509" s="84"/>
    </row>
    <row r="510" customFormat="false" ht="12.75" hidden="false" customHeight="false" outlineLevel="0" collapsed="false">
      <c r="A510" s="37"/>
      <c r="E510" s="83"/>
      <c r="J510" s="84"/>
      <c r="N510" s="84"/>
      <c r="R510" s="84"/>
      <c r="V510" s="84"/>
      <c r="Z510" s="84"/>
      <c r="AD510" s="84"/>
      <c r="AH510" s="84"/>
      <c r="AL510" s="84"/>
      <c r="AP510" s="84"/>
      <c r="AT510" s="84"/>
      <c r="AX510" s="84"/>
      <c r="BB510" s="85"/>
      <c r="BC510" s="84"/>
      <c r="BD510" s="84"/>
      <c r="BF510" s="84"/>
      <c r="BL510" s="84"/>
      <c r="BP510" s="86"/>
      <c r="BV510" s="84"/>
      <c r="CA510" s="84"/>
      <c r="CF510" s="84"/>
      <c r="CK510" s="84"/>
      <c r="CP510" s="84"/>
      <c r="CS510" s="86"/>
      <c r="CT510" s="84"/>
      <c r="CW510" s="86"/>
      <c r="CX510" s="84"/>
      <c r="DA510" s="86"/>
      <c r="DB510" s="84"/>
      <c r="DE510" s="86"/>
      <c r="DF510" s="84"/>
      <c r="DI510" s="86"/>
      <c r="DJ510" s="84"/>
      <c r="DM510" s="86"/>
      <c r="DN510" s="84"/>
      <c r="DQ510" s="86"/>
      <c r="DR510" s="85"/>
      <c r="DS510" s="85"/>
      <c r="DT510" s="84"/>
      <c r="DV510" s="84"/>
      <c r="DW510" s="157"/>
      <c r="EB510" s="84"/>
      <c r="EG510" s="84"/>
      <c r="EK510" s="84"/>
      <c r="EO510" s="84"/>
      <c r="ES510" s="84"/>
      <c r="EW510" s="84"/>
    </row>
    <row r="511" customFormat="false" ht="12.75" hidden="false" customHeight="false" outlineLevel="0" collapsed="false">
      <c r="A511" s="37"/>
      <c r="E511" s="83"/>
      <c r="J511" s="84"/>
      <c r="N511" s="84"/>
      <c r="R511" s="84"/>
      <c r="V511" s="84"/>
      <c r="Z511" s="84"/>
      <c r="AD511" s="84"/>
      <c r="AH511" s="84"/>
      <c r="AL511" s="84"/>
      <c r="AP511" s="84"/>
      <c r="AT511" s="84"/>
      <c r="AX511" s="84"/>
      <c r="BB511" s="85"/>
      <c r="BC511" s="84"/>
      <c r="BD511" s="84"/>
      <c r="BF511" s="84"/>
      <c r="BL511" s="84"/>
      <c r="BP511" s="86"/>
      <c r="BV511" s="84"/>
      <c r="CA511" s="84"/>
      <c r="CF511" s="84"/>
      <c r="CK511" s="84"/>
      <c r="CP511" s="84"/>
      <c r="CS511" s="86"/>
      <c r="CT511" s="84"/>
      <c r="CW511" s="86"/>
      <c r="CX511" s="84"/>
      <c r="DA511" s="86"/>
      <c r="DB511" s="84"/>
      <c r="DE511" s="86"/>
      <c r="DF511" s="84"/>
      <c r="DI511" s="86"/>
      <c r="DJ511" s="84"/>
      <c r="DM511" s="86"/>
      <c r="DN511" s="84"/>
      <c r="DQ511" s="86"/>
      <c r="DR511" s="85"/>
      <c r="DS511" s="85"/>
      <c r="DT511" s="84"/>
      <c r="DV511" s="84"/>
      <c r="DW511" s="157"/>
      <c r="EB511" s="84"/>
      <c r="EG511" s="84"/>
      <c r="EK511" s="84"/>
      <c r="EO511" s="84"/>
      <c r="ES511" s="84"/>
      <c r="EW511" s="84"/>
    </row>
    <row r="512" customFormat="false" ht="12.75" hidden="false" customHeight="false" outlineLevel="0" collapsed="false">
      <c r="A512" s="37"/>
      <c r="E512" s="83"/>
      <c r="J512" s="84"/>
      <c r="N512" s="84"/>
      <c r="R512" s="84"/>
      <c r="V512" s="84"/>
      <c r="Z512" s="84"/>
      <c r="AD512" s="84"/>
      <c r="AH512" s="84"/>
      <c r="AL512" s="84"/>
      <c r="AP512" s="84"/>
      <c r="AT512" s="84"/>
      <c r="AX512" s="84"/>
      <c r="BB512" s="85"/>
      <c r="BC512" s="84"/>
      <c r="BD512" s="84"/>
      <c r="BF512" s="84"/>
      <c r="BL512" s="84"/>
      <c r="BP512" s="86"/>
      <c r="BV512" s="84"/>
      <c r="CA512" s="84"/>
      <c r="CF512" s="84"/>
      <c r="CK512" s="84"/>
      <c r="CP512" s="84"/>
      <c r="CS512" s="86"/>
      <c r="CT512" s="84"/>
      <c r="CW512" s="86"/>
      <c r="CX512" s="84"/>
      <c r="DA512" s="86"/>
      <c r="DB512" s="84"/>
      <c r="DE512" s="86"/>
      <c r="DF512" s="84"/>
      <c r="DI512" s="86"/>
      <c r="DJ512" s="84"/>
      <c r="DM512" s="86"/>
      <c r="DN512" s="84"/>
      <c r="DQ512" s="86"/>
      <c r="DR512" s="85"/>
      <c r="DS512" s="85"/>
      <c r="DT512" s="84"/>
      <c r="DV512" s="84"/>
      <c r="DW512" s="157"/>
      <c r="EB512" s="84"/>
      <c r="EG512" s="84"/>
      <c r="EK512" s="84"/>
      <c r="EO512" s="84"/>
      <c r="ES512" s="84"/>
      <c r="EW512" s="84"/>
    </row>
    <row r="513" customFormat="false" ht="12.75" hidden="false" customHeight="false" outlineLevel="0" collapsed="false">
      <c r="A513" s="37"/>
      <c r="E513" s="83"/>
      <c r="J513" s="84"/>
      <c r="N513" s="84"/>
      <c r="R513" s="84"/>
      <c r="V513" s="84"/>
      <c r="Z513" s="84"/>
      <c r="AD513" s="84"/>
      <c r="AH513" s="84"/>
      <c r="AL513" s="84"/>
      <c r="AP513" s="84"/>
      <c r="AT513" s="84"/>
      <c r="AX513" s="84"/>
      <c r="BB513" s="85"/>
      <c r="BC513" s="84"/>
      <c r="BD513" s="84"/>
      <c r="BF513" s="84"/>
      <c r="BL513" s="84"/>
      <c r="BP513" s="86"/>
      <c r="BV513" s="84"/>
      <c r="CA513" s="84"/>
      <c r="CF513" s="84"/>
      <c r="CK513" s="84"/>
      <c r="CP513" s="84"/>
      <c r="CS513" s="86"/>
      <c r="CT513" s="84"/>
      <c r="CW513" s="86"/>
      <c r="CX513" s="84"/>
      <c r="DA513" s="86"/>
      <c r="DB513" s="84"/>
      <c r="DE513" s="86"/>
      <c r="DF513" s="84"/>
      <c r="DI513" s="86"/>
      <c r="DJ513" s="84"/>
      <c r="DM513" s="86"/>
      <c r="DN513" s="84"/>
      <c r="DQ513" s="86"/>
      <c r="DR513" s="85"/>
      <c r="DS513" s="85"/>
      <c r="DT513" s="84"/>
      <c r="DV513" s="84"/>
      <c r="DW513" s="157"/>
      <c r="EB513" s="84"/>
      <c r="EG513" s="84"/>
      <c r="EK513" s="84"/>
      <c r="EO513" s="84"/>
      <c r="ES513" s="84"/>
      <c r="EW513" s="84"/>
    </row>
    <row r="514" customFormat="false" ht="12.75" hidden="false" customHeight="false" outlineLevel="0" collapsed="false">
      <c r="A514" s="37"/>
      <c r="E514" s="83"/>
      <c r="J514" s="84"/>
      <c r="N514" s="84"/>
      <c r="R514" s="84"/>
      <c r="V514" s="84"/>
      <c r="Z514" s="84"/>
      <c r="AD514" s="84"/>
      <c r="AH514" s="84"/>
      <c r="AL514" s="84"/>
      <c r="AP514" s="84"/>
      <c r="AT514" s="84"/>
      <c r="AX514" s="84"/>
      <c r="BB514" s="85"/>
      <c r="BC514" s="84"/>
      <c r="BD514" s="84"/>
      <c r="BF514" s="84"/>
      <c r="BL514" s="84"/>
      <c r="BP514" s="86"/>
      <c r="BV514" s="84"/>
      <c r="CA514" s="84"/>
      <c r="CF514" s="84"/>
      <c r="CK514" s="84"/>
      <c r="CP514" s="84"/>
      <c r="CS514" s="86"/>
      <c r="CT514" s="84"/>
      <c r="CW514" s="86"/>
      <c r="CX514" s="84"/>
      <c r="DA514" s="86"/>
      <c r="DB514" s="84"/>
      <c r="DE514" s="86"/>
      <c r="DF514" s="84"/>
      <c r="DI514" s="86"/>
      <c r="DJ514" s="84"/>
      <c r="DM514" s="86"/>
      <c r="DN514" s="84"/>
      <c r="DQ514" s="86"/>
      <c r="DR514" s="85"/>
      <c r="DS514" s="85"/>
      <c r="DT514" s="84"/>
      <c r="DV514" s="84"/>
      <c r="DW514" s="157"/>
      <c r="EB514" s="84"/>
      <c r="EG514" s="84"/>
      <c r="EK514" s="84"/>
      <c r="EO514" s="84"/>
      <c r="ES514" s="84"/>
      <c r="EW514" s="84"/>
    </row>
    <row r="515" customFormat="false" ht="12.75" hidden="false" customHeight="false" outlineLevel="0" collapsed="false">
      <c r="A515" s="37"/>
      <c r="E515" s="83"/>
      <c r="J515" s="84"/>
      <c r="N515" s="84"/>
      <c r="R515" s="84"/>
      <c r="V515" s="84"/>
      <c r="Z515" s="84"/>
      <c r="AD515" s="84"/>
      <c r="AH515" s="84"/>
      <c r="AL515" s="84"/>
      <c r="AP515" s="84"/>
      <c r="AT515" s="84"/>
      <c r="AX515" s="84"/>
      <c r="BB515" s="85"/>
      <c r="BC515" s="84"/>
      <c r="BD515" s="84"/>
      <c r="BF515" s="84"/>
      <c r="BL515" s="84"/>
      <c r="BP515" s="86"/>
      <c r="BV515" s="84"/>
      <c r="CA515" s="84"/>
      <c r="CF515" s="84"/>
      <c r="CK515" s="84"/>
      <c r="CP515" s="84"/>
      <c r="CS515" s="86"/>
      <c r="CT515" s="84"/>
      <c r="CW515" s="86"/>
      <c r="CX515" s="84"/>
      <c r="DA515" s="86"/>
      <c r="DB515" s="84"/>
      <c r="DE515" s="86"/>
      <c r="DF515" s="84"/>
      <c r="DI515" s="86"/>
      <c r="DJ515" s="84"/>
      <c r="DM515" s="86"/>
      <c r="DN515" s="84"/>
      <c r="DQ515" s="86"/>
      <c r="DR515" s="85"/>
      <c r="DS515" s="85"/>
      <c r="DT515" s="84"/>
      <c r="DV515" s="84"/>
      <c r="DW515" s="157"/>
      <c r="EB515" s="84"/>
      <c r="EG515" s="84"/>
      <c r="EK515" s="84"/>
      <c r="EO515" s="84"/>
      <c r="ES515" s="84"/>
      <c r="EW515" s="84"/>
    </row>
    <row r="516" customFormat="false" ht="12.75" hidden="false" customHeight="false" outlineLevel="0" collapsed="false">
      <c r="A516" s="37"/>
      <c r="E516" s="83"/>
      <c r="J516" s="84"/>
      <c r="N516" s="84"/>
      <c r="R516" s="84"/>
      <c r="V516" s="84"/>
      <c r="Z516" s="84"/>
      <c r="AD516" s="84"/>
      <c r="AH516" s="84"/>
      <c r="AL516" s="84"/>
      <c r="AP516" s="84"/>
      <c r="AT516" s="84"/>
      <c r="AX516" s="84"/>
      <c r="BB516" s="85"/>
      <c r="BC516" s="84"/>
      <c r="BD516" s="84"/>
      <c r="BF516" s="84"/>
      <c r="BL516" s="84"/>
      <c r="BP516" s="86"/>
      <c r="BV516" s="84"/>
      <c r="CA516" s="84"/>
      <c r="CF516" s="84"/>
      <c r="CK516" s="84"/>
      <c r="CP516" s="84"/>
      <c r="CS516" s="86"/>
      <c r="CT516" s="84"/>
      <c r="CW516" s="86"/>
      <c r="CX516" s="84"/>
      <c r="DA516" s="86"/>
      <c r="DB516" s="84"/>
      <c r="DE516" s="86"/>
      <c r="DF516" s="84"/>
      <c r="DI516" s="86"/>
      <c r="DJ516" s="84"/>
      <c r="DM516" s="86"/>
      <c r="DN516" s="84"/>
      <c r="DQ516" s="86"/>
      <c r="DR516" s="85"/>
      <c r="DS516" s="85"/>
      <c r="DT516" s="84"/>
      <c r="DV516" s="84"/>
      <c r="DW516" s="157"/>
      <c r="EB516" s="84"/>
      <c r="EG516" s="84"/>
      <c r="EK516" s="84"/>
      <c r="EO516" s="84"/>
      <c r="ES516" s="84"/>
      <c r="EW516" s="84"/>
    </row>
    <row r="517" customFormat="false" ht="12.75" hidden="false" customHeight="false" outlineLevel="0" collapsed="false">
      <c r="A517" s="37"/>
      <c r="E517" s="83"/>
      <c r="J517" s="84"/>
      <c r="N517" s="84"/>
      <c r="R517" s="84"/>
      <c r="V517" s="84"/>
      <c r="Z517" s="84"/>
      <c r="AD517" s="84"/>
      <c r="AH517" s="84"/>
      <c r="AL517" s="84"/>
      <c r="AP517" s="84"/>
      <c r="AT517" s="84"/>
      <c r="AX517" s="84"/>
      <c r="BB517" s="85"/>
      <c r="BC517" s="84"/>
      <c r="BD517" s="84"/>
      <c r="BF517" s="84"/>
      <c r="BL517" s="84"/>
      <c r="BP517" s="86"/>
      <c r="BV517" s="84"/>
      <c r="CA517" s="84"/>
      <c r="CF517" s="84"/>
      <c r="CK517" s="84"/>
      <c r="CP517" s="84"/>
      <c r="CS517" s="86"/>
      <c r="CT517" s="84"/>
      <c r="CW517" s="86"/>
      <c r="CX517" s="84"/>
      <c r="DA517" s="86"/>
      <c r="DB517" s="84"/>
      <c r="DE517" s="86"/>
      <c r="DF517" s="84"/>
      <c r="DI517" s="86"/>
      <c r="DJ517" s="84"/>
      <c r="DM517" s="86"/>
      <c r="DN517" s="84"/>
      <c r="DQ517" s="86"/>
      <c r="DR517" s="85"/>
      <c r="DS517" s="85"/>
      <c r="DT517" s="84"/>
      <c r="DV517" s="84"/>
      <c r="DW517" s="157"/>
      <c r="EB517" s="84"/>
      <c r="EG517" s="84"/>
      <c r="EK517" s="84"/>
      <c r="EO517" s="84"/>
      <c r="ES517" s="84"/>
      <c r="EW517" s="84"/>
    </row>
    <row r="518" customFormat="false" ht="12.75" hidden="false" customHeight="false" outlineLevel="0" collapsed="false">
      <c r="A518" s="37"/>
      <c r="E518" s="83"/>
      <c r="J518" s="84"/>
      <c r="N518" s="84"/>
      <c r="R518" s="84"/>
      <c r="V518" s="84"/>
      <c r="Z518" s="84"/>
      <c r="AD518" s="84"/>
      <c r="AH518" s="84"/>
      <c r="AL518" s="84"/>
      <c r="AP518" s="84"/>
      <c r="AT518" s="84"/>
      <c r="AX518" s="84"/>
      <c r="BB518" s="85"/>
      <c r="BC518" s="84"/>
      <c r="BD518" s="84"/>
      <c r="BF518" s="84"/>
      <c r="BL518" s="84"/>
      <c r="BP518" s="86"/>
      <c r="BV518" s="84"/>
      <c r="CA518" s="84"/>
      <c r="CF518" s="84"/>
      <c r="CK518" s="84"/>
      <c r="CP518" s="84"/>
      <c r="CS518" s="86"/>
      <c r="CT518" s="84"/>
      <c r="CW518" s="86"/>
      <c r="CX518" s="84"/>
      <c r="DA518" s="86"/>
      <c r="DB518" s="84"/>
      <c r="DE518" s="86"/>
      <c r="DF518" s="84"/>
      <c r="DI518" s="86"/>
      <c r="DJ518" s="84"/>
      <c r="DM518" s="86"/>
      <c r="DN518" s="84"/>
      <c r="DQ518" s="86"/>
      <c r="DR518" s="85"/>
      <c r="DS518" s="85"/>
      <c r="DT518" s="84"/>
      <c r="DV518" s="84"/>
      <c r="DW518" s="157"/>
      <c r="EB518" s="84"/>
      <c r="EG518" s="84"/>
      <c r="EK518" s="84"/>
      <c r="EO518" s="84"/>
      <c r="ES518" s="84"/>
      <c r="EW518" s="84"/>
    </row>
    <row r="519" customFormat="false" ht="12.75" hidden="false" customHeight="false" outlineLevel="0" collapsed="false">
      <c r="A519" s="37"/>
      <c r="E519" s="83"/>
      <c r="J519" s="84"/>
      <c r="N519" s="84"/>
      <c r="R519" s="84"/>
      <c r="V519" s="84"/>
      <c r="Z519" s="84"/>
      <c r="AD519" s="84"/>
      <c r="AH519" s="84"/>
      <c r="AL519" s="84"/>
      <c r="AP519" s="84"/>
      <c r="AT519" s="84"/>
      <c r="AX519" s="84"/>
      <c r="BB519" s="85"/>
      <c r="BC519" s="84"/>
      <c r="BD519" s="84"/>
      <c r="BF519" s="84"/>
      <c r="BL519" s="84"/>
      <c r="BP519" s="86"/>
      <c r="BV519" s="84"/>
      <c r="CA519" s="84"/>
      <c r="CF519" s="84"/>
      <c r="CK519" s="84"/>
      <c r="CP519" s="84"/>
      <c r="CS519" s="86"/>
      <c r="CT519" s="84"/>
      <c r="CW519" s="86"/>
      <c r="CX519" s="84"/>
      <c r="DA519" s="86"/>
      <c r="DB519" s="84"/>
      <c r="DE519" s="86"/>
      <c r="DF519" s="84"/>
      <c r="DI519" s="86"/>
      <c r="DJ519" s="84"/>
      <c r="DM519" s="86"/>
      <c r="DN519" s="84"/>
      <c r="DQ519" s="86"/>
      <c r="DR519" s="85"/>
      <c r="DS519" s="85"/>
      <c r="DT519" s="84"/>
      <c r="DV519" s="84"/>
      <c r="DW519" s="157"/>
      <c r="EB519" s="84"/>
      <c r="EG519" s="84"/>
      <c r="EK519" s="84"/>
      <c r="EO519" s="84"/>
      <c r="ES519" s="84"/>
      <c r="EW519" s="84"/>
    </row>
    <row r="520" customFormat="false" ht="12.75" hidden="false" customHeight="false" outlineLevel="0" collapsed="false">
      <c r="A520" s="37"/>
      <c r="E520" s="83"/>
      <c r="J520" s="84"/>
      <c r="N520" s="84"/>
      <c r="R520" s="84"/>
      <c r="V520" s="84"/>
      <c r="Z520" s="84"/>
      <c r="AD520" s="84"/>
      <c r="AH520" s="84"/>
      <c r="AL520" s="84"/>
      <c r="AP520" s="84"/>
      <c r="AT520" s="84"/>
      <c r="AX520" s="84"/>
      <c r="BB520" s="85"/>
      <c r="BC520" s="84"/>
      <c r="BD520" s="84"/>
      <c r="BF520" s="84"/>
      <c r="BL520" s="84"/>
      <c r="BP520" s="86"/>
      <c r="BV520" s="84"/>
      <c r="CA520" s="84"/>
      <c r="CF520" s="84"/>
      <c r="CK520" s="84"/>
      <c r="CP520" s="84"/>
      <c r="CS520" s="86"/>
      <c r="CT520" s="84"/>
      <c r="CW520" s="86"/>
      <c r="CX520" s="84"/>
      <c r="DA520" s="86"/>
      <c r="DB520" s="84"/>
      <c r="DE520" s="86"/>
      <c r="DF520" s="84"/>
      <c r="DI520" s="86"/>
      <c r="DJ520" s="84"/>
      <c r="DM520" s="86"/>
      <c r="DN520" s="84"/>
      <c r="DQ520" s="86"/>
      <c r="DR520" s="85"/>
      <c r="DS520" s="85"/>
      <c r="DT520" s="84"/>
      <c r="DV520" s="84"/>
      <c r="DW520" s="157"/>
      <c r="EB520" s="84"/>
      <c r="EG520" s="84"/>
      <c r="EK520" s="84"/>
      <c r="EO520" s="84"/>
      <c r="ES520" s="84"/>
      <c r="EW520" s="84"/>
    </row>
    <row r="521" customFormat="false" ht="12.75" hidden="false" customHeight="false" outlineLevel="0" collapsed="false">
      <c r="A521" s="37"/>
      <c r="E521" s="83"/>
      <c r="J521" s="84"/>
      <c r="N521" s="84"/>
      <c r="R521" s="84"/>
      <c r="V521" s="84"/>
      <c r="Z521" s="84"/>
      <c r="AD521" s="84"/>
      <c r="AH521" s="84"/>
      <c r="AL521" s="84"/>
      <c r="AP521" s="84"/>
      <c r="AT521" s="84"/>
      <c r="AX521" s="84"/>
      <c r="BB521" s="85"/>
      <c r="BC521" s="84"/>
      <c r="BD521" s="84"/>
      <c r="BF521" s="84"/>
      <c r="BL521" s="84"/>
      <c r="BP521" s="86"/>
      <c r="BV521" s="84"/>
      <c r="CA521" s="84"/>
      <c r="CF521" s="84"/>
      <c r="CK521" s="84"/>
      <c r="CP521" s="84"/>
      <c r="CS521" s="86"/>
      <c r="CT521" s="84"/>
      <c r="CW521" s="86"/>
      <c r="CX521" s="84"/>
      <c r="DA521" s="86"/>
      <c r="DB521" s="84"/>
      <c r="DE521" s="86"/>
      <c r="DF521" s="84"/>
      <c r="DI521" s="86"/>
      <c r="DJ521" s="84"/>
      <c r="DM521" s="86"/>
      <c r="DN521" s="84"/>
      <c r="DQ521" s="86"/>
      <c r="DR521" s="85"/>
      <c r="DS521" s="85"/>
      <c r="DT521" s="84"/>
      <c r="DV521" s="84"/>
      <c r="DW521" s="157"/>
      <c r="EB521" s="84"/>
      <c r="EG521" s="84"/>
      <c r="EK521" s="84"/>
      <c r="EO521" s="84"/>
      <c r="ES521" s="84"/>
      <c r="EW521" s="84"/>
    </row>
    <row r="522" customFormat="false" ht="12.75" hidden="false" customHeight="false" outlineLevel="0" collapsed="false">
      <c r="A522" s="37"/>
      <c r="E522" s="83"/>
      <c r="J522" s="84"/>
      <c r="N522" s="84"/>
      <c r="R522" s="84"/>
      <c r="V522" s="84"/>
      <c r="Z522" s="84"/>
      <c r="AD522" s="84"/>
      <c r="AH522" s="84"/>
      <c r="AL522" s="84"/>
      <c r="AP522" s="84"/>
      <c r="AT522" s="84"/>
      <c r="AX522" s="84"/>
      <c r="BB522" s="85"/>
      <c r="BC522" s="84"/>
      <c r="BD522" s="84"/>
      <c r="BF522" s="84"/>
      <c r="BL522" s="84"/>
      <c r="BP522" s="86"/>
      <c r="BV522" s="84"/>
      <c r="CA522" s="84"/>
      <c r="CF522" s="84"/>
      <c r="CK522" s="84"/>
      <c r="CP522" s="84"/>
      <c r="CS522" s="86"/>
      <c r="CT522" s="84"/>
      <c r="CW522" s="86"/>
      <c r="CX522" s="84"/>
      <c r="DA522" s="86"/>
      <c r="DB522" s="84"/>
      <c r="DE522" s="86"/>
      <c r="DF522" s="84"/>
      <c r="DI522" s="86"/>
      <c r="DJ522" s="84"/>
      <c r="DM522" s="86"/>
      <c r="DN522" s="84"/>
      <c r="DQ522" s="86"/>
      <c r="DR522" s="85"/>
      <c r="DS522" s="85"/>
      <c r="DT522" s="84"/>
      <c r="DV522" s="84"/>
      <c r="DW522" s="157"/>
      <c r="EB522" s="84"/>
      <c r="EG522" s="84"/>
      <c r="EK522" s="84"/>
      <c r="EO522" s="84"/>
      <c r="ES522" s="84"/>
      <c r="EW522" s="84"/>
    </row>
    <row r="523" customFormat="false" ht="12.75" hidden="false" customHeight="false" outlineLevel="0" collapsed="false">
      <c r="A523" s="37"/>
      <c r="E523" s="83"/>
      <c r="J523" s="84"/>
      <c r="N523" s="84"/>
      <c r="R523" s="84"/>
      <c r="V523" s="84"/>
      <c r="Z523" s="84"/>
      <c r="AD523" s="84"/>
      <c r="AH523" s="84"/>
      <c r="AL523" s="84"/>
      <c r="AP523" s="84"/>
      <c r="AT523" s="84"/>
      <c r="AX523" s="84"/>
      <c r="BB523" s="85"/>
      <c r="BC523" s="84"/>
      <c r="BD523" s="84"/>
      <c r="BF523" s="84"/>
      <c r="BL523" s="84"/>
      <c r="BP523" s="86"/>
      <c r="BV523" s="84"/>
      <c r="CA523" s="84"/>
      <c r="CF523" s="84"/>
      <c r="CK523" s="84"/>
      <c r="CP523" s="84"/>
      <c r="CS523" s="86"/>
      <c r="CT523" s="84"/>
      <c r="CW523" s="86"/>
      <c r="CX523" s="84"/>
      <c r="DA523" s="86"/>
      <c r="DB523" s="84"/>
      <c r="DE523" s="86"/>
      <c r="DF523" s="84"/>
      <c r="DI523" s="86"/>
      <c r="DJ523" s="84"/>
      <c r="DM523" s="86"/>
      <c r="DN523" s="84"/>
      <c r="DQ523" s="86"/>
      <c r="DR523" s="85"/>
      <c r="DS523" s="85"/>
      <c r="DT523" s="84"/>
      <c r="DV523" s="84"/>
      <c r="DW523" s="157"/>
      <c r="EB523" s="84"/>
      <c r="EG523" s="84"/>
      <c r="EK523" s="84"/>
      <c r="EO523" s="84"/>
      <c r="ES523" s="84"/>
      <c r="EW523" s="84"/>
    </row>
    <row r="524" customFormat="false" ht="12.75" hidden="false" customHeight="false" outlineLevel="0" collapsed="false">
      <c r="A524" s="37"/>
      <c r="E524" s="83"/>
      <c r="J524" s="84"/>
      <c r="N524" s="84"/>
      <c r="R524" s="84"/>
      <c r="V524" s="84"/>
      <c r="Z524" s="84"/>
      <c r="AD524" s="84"/>
      <c r="AH524" s="84"/>
      <c r="AL524" s="84"/>
      <c r="AP524" s="84"/>
      <c r="AT524" s="84"/>
      <c r="AX524" s="84"/>
      <c r="BB524" s="85"/>
      <c r="BC524" s="84"/>
      <c r="BD524" s="84"/>
      <c r="BF524" s="84"/>
      <c r="BL524" s="84"/>
      <c r="BP524" s="86"/>
      <c r="BV524" s="84"/>
      <c r="CA524" s="84"/>
      <c r="CF524" s="84"/>
      <c r="CK524" s="84"/>
      <c r="CP524" s="84"/>
      <c r="CS524" s="86"/>
      <c r="CT524" s="84"/>
      <c r="CW524" s="86"/>
      <c r="CX524" s="84"/>
      <c r="DA524" s="86"/>
      <c r="DB524" s="84"/>
      <c r="DE524" s="86"/>
      <c r="DF524" s="84"/>
      <c r="DI524" s="86"/>
      <c r="DJ524" s="84"/>
      <c r="DM524" s="86"/>
      <c r="DN524" s="84"/>
      <c r="DQ524" s="86"/>
      <c r="DR524" s="85"/>
      <c r="DS524" s="85"/>
      <c r="DT524" s="84"/>
      <c r="DV524" s="84"/>
      <c r="DW524" s="157"/>
      <c r="EB524" s="84"/>
      <c r="EG524" s="84"/>
      <c r="EK524" s="84"/>
      <c r="EO524" s="84"/>
      <c r="ES524" s="84"/>
      <c r="EW524" s="84"/>
    </row>
    <row r="525" customFormat="false" ht="12.75" hidden="false" customHeight="false" outlineLevel="0" collapsed="false">
      <c r="A525" s="37"/>
      <c r="E525" s="83"/>
      <c r="J525" s="84"/>
      <c r="N525" s="84"/>
      <c r="R525" s="84"/>
      <c r="V525" s="84"/>
      <c r="Z525" s="84"/>
      <c r="AD525" s="84"/>
      <c r="AH525" s="84"/>
      <c r="AL525" s="84"/>
      <c r="AP525" s="84"/>
      <c r="AT525" s="84"/>
      <c r="AX525" s="84"/>
      <c r="BB525" s="85"/>
      <c r="BC525" s="84"/>
      <c r="BD525" s="84"/>
      <c r="BF525" s="84"/>
      <c r="BL525" s="84"/>
      <c r="BP525" s="86"/>
      <c r="BV525" s="84"/>
      <c r="CA525" s="84"/>
      <c r="CF525" s="84"/>
      <c r="CK525" s="84"/>
      <c r="CP525" s="84"/>
      <c r="CS525" s="86"/>
      <c r="CT525" s="84"/>
      <c r="CW525" s="86"/>
      <c r="CX525" s="84"/>
      <c r="DA525" s="86"/>
      <c r="DB525" s="84"/>
      <c r="DE525" s="86"/>
      <c r="DF525" s="84"/>
      <c r="DI525" s="86"/>
      <c r="DJ525" s="84"/>
      <c r="DM525" s="86"/>
      <c r="DN525" s="84"/>
      <c r="DQ525" s="86"/>
      <c r="DR525" s="85"/>
      <c r="DS525" s="85"/>
      <c r="DT525" s="84"/>
      <c r="DV525" s="84"/>
      <c r="DW525" s="157"/>
      <c r="EB525" s="84"/>
      <c r="EG525" s="84"/>
      <c r="EK525" s="84"/>
      <c r="EO525" s="84"/>
      <c r="ES525" s="84"/>
      <c r="EW525" s="84"/>
    </row>
    <row r="526" customFormat="false" ht="12.75" hidden="false" customHeight="false" outlineLevel="0" collapsed="false">
      <c r="A526" s="37"/>
      <c r="E526" s="83"/>
      <c r="J526" s="84"/>
      <c r="N526" s="84"/>
      <c r="R526" s="84"/>
      <c r="V526" s="84"/>
      <c r="Z526" s="84"/>
      <c r="AD526" s="84"/>
      <c r="AH526" s="84"/>
      <c r="AL526" s="84"/>
      <c r="AP526" s="84"/>
      <c r="AT526" s="84"/>
      <c r="AX526" s="84"/>
      <c r="BB526" s="85"/>
      <c r="BC526" s="84"/>
      <c r="BD526" s="84"/>
      <c r="BF526" s="84"/>
      <c r="BL526" s="84"/>
      <c r="BP526" s="86"/>
      <c r="BV526" s="84"/>
      <c r="CA526" s="84"/>
      <c r="CF526" s="84"/>
      <c r="CK526" s="84"/>
      <c r="CP526" s="84"/>
      <c r="CS526" s="86"/>
      <c r="CT526" s="84"/>
      <c r="CW526" s="86"/>
      <c r="CX526" s="84"/>
      <c r="DA526" s="86"/>
      <c r="DB526" s="84"/>
      <c r="DE526" s="86"/>
      <c r="DF526" s="84"/>
      <c r="DI526" s="86"/>
      <c r="DJ526" s="84"/>
      <c r="DM526" s="86"/>
      <c r="DN526" s="84"/>
      <c r="DQ526" s="86"/>
      <c r="DR526" s="85"/>
      <c r="DS526" s="85"/>
      <c r="DT526" s="84"/>
      <c r="DV526" s="84"/>
      <c r="DW526" s="157"/>
      <c r="EB526" s="84"/>
      <c r="EG526" s="84"/>
      <c r="EK526" s="84"/>
      <c r="EO526" s="84"/>
      <c r="ES526" s="84"/>
      <c r="EW526" s="84"/>
    </row>
    <row r="527" customFormat="false" ht="12.75" hidden="false" customHeight="false" outlineLevel="0" collapsed="false">
      <c r="A527" s="37"/>
      <c r="E527" s="83"/>
      <c r="J527" s="84"/>
      <c r="N527" s="84"/>
      <c r="R527" s="84"/>
      <c r="V527" s="84"/>
      <c r="Z527" s="84"/>
      <c r="AD527" s="84"/>
      <c r="AH527" s="84"/>
      <c r="AL527" s="84"/>
      <c r="AP527" s="84"/>
      <c r="AT527" s="84"/>
      <c r="AX527" s="84"/>
      <c r="BB527" s="85"/>
      <c r="BC527" s="84"/>
      <c r="BD527" s="84"/>
      <c r="BF527" s="84"/>
      <c r="BL527" s="84"/>
      <c r="BP527" s="86"/>
      <c r="BV527" s="84"/>
      <c r="CA527" s="84"/>
      <c r="CF527" s="84"/>
      <c r="CK527" s="84"/>
      <c r="CP527" s="84"/>
      <c r="CS527" s="86"/>
      <c r="CT527" s="84"/>
      <c r="CW527" s="86"/>
      <c r="CX527" s="84"/>
      <c r="DA527" s="86"/>
      <c r="DB527" s="84"/>
      <c r="DE527" s="86"/>
      <c r="DF527" s="84"/>
      <c r="DI527" s="86"/>
      <c r="DJ527" s="84"/>
      <c r="DM527" s="86"/>
      <c r="DN527" s="84"/>
      <c r="DQ527" s="86"/>
      <c r="DR527" s="85"/>
      <c r="DS527" s="85"/>
      <c r="DT527" s="84"/>
      <c r="DV527" s="84"/>
      <c r="DW527" s="157"/>
      <c r="EB527" s="84"/>
      <c r="EG527" s="84"/>
      <c r="EK527" s="84"/>
      <c r="EO527" s="84"/>
      <c r="ES527" s="84"/>
      <c r="EW527" s="84"/>
    </row>
    <row r="528" customFormat="false" ht="12.75" hidden="false" customHeight="false" outlineLevel="0" collapsed="false">
      <c r="A528" s="37"/>
      <c r="E528" s="83"/>
      <c r="J528" s="84"/>
      <c r="N528" s="84"/>
      <c r="R528" s="84"/>
      <c r="V528" s="84"/>
      <c r="Z528" s="84"/>
      <c r="AD528" s="84"/>
      <c r="AH528" s="84"/>
      <c r="AL528" s="84"/>
      <c r="AP528" s="84"/>
      <c r="AT528" s="84"/>
      <c r="AX528" s="84"/>
      <c r="BB528" s="85"/>
      <c r="BC528" s="84"/>
      <c r="BD528" s="84"/>
      <c r="BF528" s="84"/>
      <c r="BL528" s="84"/>
      <c r="BP528" s="86"/>
      <c r="BV528" s="84"/>
      <c r="CA528" s="84"/>
      <c r="CF528" s="84"/>
      <c r="CK528" s="84"/>
      <c r="CP528" s="84"/>
      <c r="CS528" s="86"/>
      <c r="CT528" s="84"/>
      <c r="CW528" s="86"/>
      <c r="CX528" s="84"/>
      <c r="DA528" s="86"/>
      <c r="DB528" s="84"/>
      <c r="DE528" s="86"/>
      <c r="DF528" s="84"/>
      <c r="DI528" s="86"/>
      <c r="DJ528" s="84"/>
      <c r="DM528" s="86"/>
      <c r="DN528" s="84"/>
      <c r="DQ528" s="86"/>
      <c r="DR528" s="85"/>
      <c r="DS528" s="85"/>
      <c r="DT528" s="84"/>
      <c r="DV528" s="84"/>
      <c r="DW528" s="157"/>
      <c r="EB528" s="84"/>
      <c r="EG528" s="84"/>
      <c r="EK528" s="84"/>
      <c r="EO528" s="84"/>
      <c r="ES528" s="84"/>
      <c r="EW528" s="84"/>
    </row>
    <row r="529" customFormat="false" ht="12.75" hidden="false" customHeight="false" outlineLevel="0" collapsed="false">
      <c r="A529" s="37"/>
      <c r="E529" s="83"/>
      <c r="J529" s="84"/>
      <c r="N529" s="84"/>
      <c r="R529" s="84"/>
      <c r="V529" s="84"/>
      <c r="Z529" s="84"/>
      <c r="AD529" s="84"/>
      <c r="AH529" s="84"/>
      <c r="AL529" s="84"/>
      <c r="AP529" s="84"/>
      <c r="AT529" s="84"/>
      <c r="AX529" s="84"/>
      <c r="BB529" s="85"/>
      <c r="BC529" s="84"/>
      <c r="BD529" s="84"/>
      <c r="BF529" s="84"/>
      <c r="BL529" s="84"/>
      <c r="BP529" s="86"/>
      <c r="BV529" s="84"/>
      <c r="CA529" s="84"/>
      <c r="CF529" s="84"/>
      <c r="CK529" s="84"/>
      <c r="CP529" s="84"/>
      <c r="CS529" s="86"/>
      <c r="CT529" s="84"/>
      <c r="CW529" s="86"/>
      <c r="CX529" s="84"/>
      <c r="DA529" s="86"/>
      <c r="DB529" s="84"/>
      <c r="DE529" s="86"/>
      <c r="DF529" s="84"/>
      <c r="DI529" s="86"/>
      <c r="DJ529" s="84"/>
      <c r="DM529" s="86"/>
      <c r="DN529" s="84"/>
      <c r="DQ529" s="86"/>
      <c r="DR529" s="85"/>
      <c r="DS529" s="85"/>
      <c r="DT529" s="84"/>
      <c r="DV529" s="84"/>
      <c r="DW529" s="157"/>
      <c r="EB529" s="84"/>
      <c r="EG529" s="84"/>
      <c r="EK529" s="84"/>
      <c r="EO529" s="84"/>
      <c r="ES529" s="84"/>
      <c r="EW529" s="84"/>
    </row>
    <row r="530" customFormat="false" ht="12.75" hidden="false" customHeight="false" outlineLevel="0" collapsed="false">
      <c r="A530" s="37"/>
      <c r="E530" s="83"/>
      <c r="J530" s="84"/>
      <c r="N530" s="84"/>
      <c r="R530" s="84"/>
      <c r="V530" s="84"/>
      <c r="Z530" s="84"/>
      <c r="AD530" s="84"/>
      <c r="AH530" s="84"/>
      <c r="AL530" s="84"/>
      <c r="AP530" s="84"/>
      <c r="AT530" s="84"/>
      <c r="AX530" s="84"/>
      <c r="BB530" s="85"/>
      <c r="BC530" s="84"/>
      <c r="BD530" s="84"/>
      <c r="BF530" s="84"/>
      <c r="BL530" s="84"/>
      <c r="BP530" s="86"/>
      <c r="BV530" s="84"/>
      <c r="CA530" s="84"/>
      <c r="CF530" s="84"/>
      <c r="CK530" s="84"/>
      <c r="CP530" s="84"/>
      <c r="CS530" s="86"/>
      <c r="CT530" s="84"/>
      <c r="CW530" s="86"/>
      <c r="CX530" s="84"/>
      <c r="DA530" s="86"/>
      <c r="DB530" s="84"/>
      <c r="DE530" s="86"/>
      <c r="DF530" s="84"/>
      <c r="DI530" s="86"/>
      <c r="DJ530" s="84"/>
      <c r="DM530" s="86"/>
      <c r="DN530" s="84"/>
      <c r="DQ530" s="86"/>
      <c r="DR530" s="85"/>
      <c r="DS530" s="85"/>
      <c r="DT530" s="84"/>
      <c r="DV530" s="84"/>
      <c r="DW530" s="157"/>
      <c r="EB530" s="84"/>
      <c r="EG530" s="84"/>
      <c r="EK530" s="84"/>
      <c r="EO530" s="84"/>
      <c r="ES530" s="84"/>
      <c r="EW530" s="84"/>
    </row>
    <row r="531" customFormat="false" ht="12.75" hidden="false" customHeight="false" outlineLevel="0" collapsed="false">
      <c r="A531" s="37"/>
      <c r="E531" s="83"/>
      <c r="J531" s="84"/>
      <c r="N531" s="84"/>
      <c r="R531" s="84"/>
      <c r="V531" s="84"/>
      <c r="Z531" s="84"/>
      <c r="AD531" s="84"/>
      <c r="AH531" s="84"/>
      <c r="AL531" s="84"/>
      <c r="AP531" s="84"/>
      <c r="AT531" s="84"/>
      <c r="AX531" s="84"/>
      <c r="BB531" s="85"/>
      <c r="BC531" s="84"/>
      <c r="BD531" s="84"/>
      <c r="BF531" s="84"/>
      <c r="BL531" s="84"/>
      <c r="BP531" s="86"/>
      <c r="BV531" s="84"/>
      <c r="CA531" s="84"/>
      <c r="CF531" s="84"/>
      <c r="CK531" s="84"/>
      <c r="CP531" s="84"/>
      <c r="CS531" s="86"/>
      <c r="CT531" s="84"/>
      <c r="CW531" s="86"/>
      <c r="CX531" s="84"/>
      <c r="DA531" s="86"/>
      <c r="DB531" s="84"/>
      <c r="DE531" s="86"/>
      <c r="DF531" s="84"/>
      <c r="DI531" s="86"/>
      <c r="DJ531" s="84"/>
      <c r="DM531" s="86"/>
      <c r="DN531" s="84"/>
      <c r="DQ531" s="86"/>
      <c r="DR531" s="85"/>
      <c r="DS531" s="85"/>
      <c r="DT531" s="84"/>
      <c r="DV531" s="84"/>
      <c r="DW531" s="157"/>
      <c r="EB531" s="84"/>
      <c r="EG531" s="84"/>
      <c r="EK531" s="84"/>
      <c r="EO531" s="84"/>
      <c r="ES531" s="84"/>
      <c r="EW531" s="84"/>
    </row>
    <row r="532" customFormat="false" ht="12.75" hidden="false" customHeight="false" outlineLevel="0" collapsed="false">
      <c r="A532" s="37"/>
      <c r="E532" s="83"/>
      <c r="J532" s="84"/>
      <c r="N532" s="84"/>
      <c r="R532" s="84"/>
      <c r="V532" s="84"/>
      <c r="Z532" s="84"/>
      <c r="AD532" s="84"/>
      <c r="AH532" s="84"/>
      <c r="AL532" s="84"/>
      <c r="AP532" s="84"/>
      <c r="AT532" s="84"/>
      <c r="AX532" s="84"/>
      <c r="BB532" s="85"/>
      <c r="BC532" s="84"/>
      <c r="BD532" s="84"/>
      <c r="BF532" s="84"/>
      <c r="BL532" s="84"/>
      <c r="BP532" s="86"/>
      <c r="BV532" s="84"/>
      <c r="CA532" s="84"/>
      <c r="CF532" s="84"/>
      <c r="CK532" s="84"/>
      <c r="CP532" s="84"/>
      <c r="CS532" s="86"/>
      <c r="CT532" s="84"/>
      <c r="CW532" s="86"/>
      <c r="CX532" s="84"/>
      <c r="DA532" s="86"/>
      <c r="DB532" s="84"/>
      <c r="DE532" s="86"/>
      <c r="DF532" s="84"/>
      <c r="DI532" s="86"/>
      <c r="DJ532" s="84"/>
      <c r="DM532" s="86"/>
      <c r="DN532" s="84"/>
      <c r="DQ532" s="86"/>
      <c r="DR532" s="85"/>
      <c r="DS532" s="85"/>
      <c r="DT532" s="84"/>
      <c r="DV532" s="84"/>
      <c r="DW532" s="157"/>
      <c r="EB532" s="84"/>
      <c r="EG532" s="84"/>
      <c r="EK532" s="84"/>
      <c r="EO532" s="84"/>
      <c r="ES532" s="84"/>
      <c r="EW532" s="84"/>
    </row>
    <row r="533" customFormat="false" ht="12.75" hidden="false" customHeight="false" outlineLevel="0" collapsed="false">
      <c r="A533" s="37"/>
      <c r="E533" s="83"/>
      <c r="J533" s="84"/>
      <c r="N533" s="84"/>
      <c r="R533" s="84"/>
      <c r="V533" s="84"/>
      <c r="Z533" s="84"/>
      <c r="AD533" s="84"/>
      <c r="AH533" s="84"/>
      <c r="AL533" s="84"/>
      <c r="AP533" s="84"/>
      <c r="AT533" s="84"/>
      <c r="AX533" s="84"/>
      <c r="BB533" s="85"/>
      <c r="BC533" s="84"/>
      <c r="BD533" s="84"/>
      <c r="BF533" s="84"/>
      <c r="BL533" s="84"/>
      <c r="BP533" s="86"/>
      <c r="BV533" s="84"/>
      <c r="CA533" s="84"/>
      <c r="CF533" s="84"/>
      <c r="CK533" s="84"/>
      <c r="CP533" s="84"/>
      <c r="CS533" s="86"/>
      <c r="CT533" s="84"/>
      <c r="CW533" s="86"/>
      <c r="CX533" s="84"/>
      <c r="DA533" s="86"/>
      <c r="DB533" s="84"/>
      <c r="DE533" s="86"/>
      <c r="DF533" s="84"/>
      <c r="DI533" s="86"/>
      <c r="DJ533" s="84"/>
      <c r="DM533" s="86"/>
      <c r="DN533" s="84"/>
      <c r="DQ533" s="86"/>
      <c r="DR533" s="85"/>
      <c r="DS533" s="85"/>
      <c r="DT533" s="84"/>
      <c r="DV533" s="84"/>
      <c r="DW533" s="157"/>
      <c r="EB533" s="84"/>
      <c r="EG533" s="84"/>
      <c r="EK533" s="84"/>
      <c r="EO533" s="84"/>
      <c r="ES533" s="84"/>
      <c r="EW533" s="84"/>
    </row>
    <row r="534" customFormat="false" ht="12.75" hidden="false" customHeight="false" outlineLevel="0" collapsed="false">
      <c r="A534" s="37"/>
      <c r="E534" s="83"/>
      <c r="J534" s="84"/>
      <c r="N534" s="84"/>
      <c r="R534" s="84"/>
      <c r="V534" s="84"/>
      <c r="Z534" s="84"/>
      <c r="AD534" s="84"/>
      <c r="AH534" s="84"/>
      <c r="AL534" s="84"/>
      <c r="AP534" s="84"/>
      <c r="AT534" s="84"/>
      <c r="AX534" s="84"/>
      <c r="BB534" s="85"/>
      <c r="BC534" s="84"/>
      <c r="BD534" s="84"/>
      <c r="BF534" s="84"/>
      <c r="BL534" s="84"/>
      <c r="BP534" s="86"/>
      <c r="BV534" s="84"/>
      <c r="CA534" s="84"/>
      <c r="CF534" s="84"/>
      <c r="CK534" s="84"/>
      <c r="CP534" s="84"/>
      <c r="CS534" s="86"/>
      <c r="CT534" s="84"/>
      <c r="CW534" s="86"/>
      <c r="CX534" s="84"/>
      <c r="DA534" s="86"/>
      <c r="DB534" s="84"/>
      <c r="DE534" s="86"/>
      <c r="DF534" s="84"/>
      <c r="DI534" s="86"/>
      <c r="DJ534" s="84"/>
      <c r="DM534" s="86"/>
      <c r="DN534" s="84"/>
      <c r="DQ534" s="86"/>
      <c r="DR534" s="85"/>
      <c r="DS534" s="85"/>
      <c r="DT534" s="84"/>
      <c r="DV534" s="84"/>
      <c r="DW534" s="157"/>
      <c r="EB534" s="84"/>
      <c r="EG534" s="84"/>
      <c r="EK534" s="84"/>
      <c r="EO534" s="84"/>
      <c r="ES534" s="84"/>
      <c r="EW534" s="84"/>
    </row>
    <row r="535" customFormat="false" ht="12.75" hidden="false" customHeight="false" outlineLevel="0" collapsed="false">
      <c r="A535" s="37"/>
      <c r="E535" s="83"/>
      <c r="J535" s="84"/>
      <c r="N535" s="84"/>
      <c r="R535" s="84"/>
      <c r="V535" s="84"/>
      <c r="Z535" s="84"/>
      <c r="AD535" s="84"/>
      <c r="AH535" s="84"/>
      <c r="AL535" s="84"/>
      <c r="AP535" s="84"/>
      <c r="AT535" s="84"/>
      <c r="AX535" s="84"/>
      <c r="BB535" s="85"/>
      <c r="BC535" s="84"/>
      <c r="BD535" s="84"/>
      <c r="BF535" s="84"/>
      <c r="BL535" s="84"/>
      <c r="BP535" s="86"/>
      <c r="BV535" s="84"/>
      <c r="CA535" s="84"/>
      <c r="CF535" s="84"/>
      <c r="CK535" s="84"/>
      <c r="CP535" s="84"/>
      <c r="CS535" s="86"/>
      <c r="CT535" s="84"/>
      <c r="CW535" s="86"/>
      <c r="CX535" s="84"/>
      <c r="DA535" s="86"/>
      <c r="DB535" s="84"/>
      <c r="DE535" s="86"/>
      <c r="DF535" s="84"/>
      <c r="DI535" s="86"/>
      <c r="DJ535" s="84"/>
      <c r="DM535" s="86"/>
      <c r="DN535" s="84"/>
      <c r="DQ535" s="86"/>
      <c r="DR535" s="85"/>
      <c r="DS535" s="85"/>
      <c r="DT535" s="84"/>
      <c r="DV535" s="84"/>
      <c r="DW535" s="157"/>
      <c r="EB535" s="84"/>
      <c r="EG535" s="84"/>
      <c r="EK535" s="84"/>
      <c r="EO535" s="84"/>
      <c r="ES535" s="84"/>
      <c r="EW535" s="84"/>
    </row>
    <row r="536" customFormat="false" ht="12.75" hidden="false" customHeight="false" outlineLevel="0" collapsed="false">
      <c r="A536" s="37"/>
      <c r="E536" s="83"/>
      <c r="J536" s="84"/>
      <c r="N536" s="84"/>
      <c r="R536" s="84"/>
      <c r="V536" s="84"/>
      <c r="Z536" s="84"/>
      <c r="AD536" s="84"/>
      <c r="AH536" s="84"/>
      <c r="AL536" s="84"/>
      <c r="AP536" s="84"/>
      <c r="AT536" s="84"/>
      <c r="AX536" s="84"/>
      <c r="BB536" s="85"/>
      <c r="BC536" s="84"/>
      <c r="BD536" s="84"/>
      <c r="BF536" s="84"/>
      <c r="BL536" s="84"/>
      <c r="BP536" s="86"/>
      <c r="BV536" s="84"/>
      <c r="CA536" s="84"/>
      <c r="CF536" s="84"/>
      <c r="CK536" s="84"/>
      <c r="CP536" s="84"/>
      <c r="CS536" s="86"/>
      <c r="CT536" s="84"/>
      <c r="CW536" s="86"/>
      <c r="CX536" s="84"/>
      <c r="DA536" s="86"/>
      <c r="DB536" s="84"/>
      <c r="DE536" s="86"/>
      <c r="DF536" s="84"/>
      <c r="DI536" s="86"/>
      <c r="DJ536" s="84"/>
      <c r="DM536" s="86"/>
      <c r="DN536" s="84"/>
      <c r="DQ536" s="86"/>
      <c r="DR536" s="85"/>
      <c r="DS536" s="85"/>
      <c r="DT536" s="84"/>
      <c r="DV536" s="84"/>
      <c r="DW536" s="157"/>
      <c r="EB536" s="84"/>
      <c r="EG536" s="84"/>
      <c r="EK536" s="84"/>
      <c r="EO536" s="84"/>
      <c r="ES536" s="84"/>
      <c r="EW536" s="84"/>
    </row>
    <row r="537" customFormat="false" ht="12.75" hidden="false" customHeight="false" outlineLevel="0" collapsed="false">
      <c r="A537" s="37"/>
      <c r="E537" s="83"/>
      <c r="J537" s="84"/>
      <c r="N537" s="84"/>
      <c r="R537" s="84"/>
      <c r="V537" s="84"/>
      <c r="Z537" s="84"/>
      <c r="AD537" s="84"/>
      <c r="AH537" s="84"/>
      <c r="AL537" s="84"/>
      <c r="AP537" s="84"/>
      <c r="AT537" s="84"/>
      <c r="AX537" s="84"/>
      <c r="BB537" s="85"/>
      <c r="BC537" s="84"/>
      <c r="BD537" s="84"/>
      <c r="BF537" s="84"/>
      <c r="BL537" s="84"/>
      <c r="BP537" s="86"/>
      <c r="BV537" s="84"/>
      <c r="CA537" s="84"/>
      <c r="CF537" s="84"/>
      <c r="CK537" s="84"/>
      <c r="CP537" s="84"/>
      <c r="CS537" s="86"/>
      <c r="CT537" s="84"/>
      <c r="CW537" s="86"/>
      <c r="CX537" s="84"/>
      <c r="DA537" s="86"/>
      <c r="DB537" s="84"/>
      <c r="DE537" s="86"/>
      <c r="DF537" s="84"/>
      <c r="DI537" s="86"/>
      <c r="DJ537" s="84"/>
      <c r="DM537" s="86"/>
      <c r="DN537" s="84"/>
      <c r="DQ537" s="86"/>
      <c r="DR537" s="85"/>
      <c r="DS537" s="85"/>
      <c r="DT537" s="84"/>
      <c r="DV537" s="84"/>
      <c r="DW537" s="157"/>
      <c r="EB537" s="84"/>
      <c r="EG537" s="84"/>
      <c r="EK537" s="84"/>
      <c r="EO537" s="84"/>
      <c r="ES537" s="84"/>
      <c r="EW537" s="84"/>
    </row>
    <row r="538" customFormat="false" ht="12.75" hidden="false" customHeight="false" outlineLevel="0" collapsed="false">
      <c r="A538" s="37"/>
      <c r="E538" s="83"/>
      <c r="J538" s="84"/>
      <c r="N538" s="84"/>
      <c r="R538" s="84"/>
      <c r="V538" s="84"/>
      <c r="Z538" s="84"/>
      <c r="AD538" s="84"/>
      <c r="AH538" s="84"/>
      <c r="AL538" s="84"/>
      <c r="AP538" s="84"/>
      <c r="AT538" s="84"/>
      <c r="AX538" s="84"/>
      <c r="BB538" s="85"/>
      <c r="BC538" s="84"/>
      <c r="BD538" s="84"/>
      <c r="BF538" s="84"/>
      <c r="BL538" s="84"/>
      <c r="BP538" s="86"/>
      <c r="BV538" s="84"/>
      <c r="CA538" s="84"/>
      <c r="CF538" s="84"/>
      <c r="CK538" s="84"/>
      <c r="CP538" s="84"/>
      <c r="CS538" s="86"/>
      <c r="CT538" s="84"/>
      <c r="CW538" s="86"/>
      <c r="CX538" s="84"/>
      <c r="DA538" s="86"/>
      <c r="DB538" s="84"/>
      <c r="DE538" s="86"/>
      <c r="DF538" s="84"/>
      <c r="DI538" s="86"/>
      <c r="DJ538" s="84"/>
      <c r="DM538" s="86"/>
      <c r="DN538" s="84"/>
      <c r="DQ538" s="86"/>
      <c r="DR538" s="85"/>
      <c r="DS538" s="85"/>
      <c r="DT538" s="84"/>
      <c r="DV538" s="84"/>
      <c r="DW538" s="157"/>
      <c r="EB538" s="84"/>
      <c r="EG538" s="84"/>
      <c r="EK538" s="84"/>
      <c r="EO538" s="84"/>
      <c r="ES538" s="84"/>
      <c r="EW538" s="84"/>
    </row>
    <row r="539" customFormat="false" ht="12.75" hidden="false" customHeight="false" outlineLevel="0" collapsed="false">
      <c r="A539" s="37"/>
      <c r="E539" s="83"/>
      <c r="J539" s="84"/>
      <c r="N539" s="84"/>
      <c r="R539" s="84"/>
      <c r="V539" s="84"/>
      <c r="Z539" s="84"/>
      <c r="AD539" s="84"/>
      <c r="AH539" s="84"/>
      <c r="AL539" s="84"/>
      <c r="AP539" s="84"/>
      <c r="AT539" s="84"/>
      <c r="AX539" s="84"/>
      <c r="BB539" s="85"/>
      <c r="BC539" s="84"/>
      <c r="BD539" s="84"/>
      <c r="BF539" s="84"/>
      <c r="BL539" s="84"/>
      <c r="BP539" s="86"/>
      <c r="BV539" s="84"/>
      <c r="CA539" s="84"/>
      <c r="CF539" s="84"/>
      <c r="CK539" s="84"/>
      <c r="CP539" s="84"/>
      <c r="CS539" s="86"/>
      <c r="CT539" s="84"/>
      <c r="CW539" s="86"/>
      <c r="CX539" s="84"/>
      <c r="DA539" s="86"/>
      <c r="DB539" s="84"/>
      <c r="DE539" s="86"/>
      <c r="DF539" s="84"/>
      <c r="DI539" s="86"/>
      <c r="DJ539" s="84"/>
      <c r="DM539" s="86"/>
      <c r="DN539" s="84"/>
      <c r="DQ539" s="86"/>
      <c r="DR539" s="85"/>
      <c r="DS539" s="85"/>
      <c r="DT539" s="84"/>
      <c r="DV539" s="84"/>
      <c r="DW539" s="157"/>
      <c r="EB539" s="84"/>
      <c r="EG539" s="84"/>
      <c r="EK539" s="84"/>
      <c r="EO539" s="84"/>
      <c r="ES539" s="84"/>
      <c r="EW539" s="84"/>
    </row>
    <row r="540" customFormat="false" ht="12.75" hidden="false" customHeight="false" outlineLevel="0" collapsed="false">
      <c r="A540" s="37"/>
      <c r="E540" s="83"/>
      <c r="J540" s="84"/>
      <c r="N540" s="84"/>
      <c r="R540" s="84"/>
      <c r="V540" s="84"/>
      <c r="Z540" s="84"/>
      <c r="AD540" s="84"/>
      <c r="AH540" s="84"/>
      <c r="AL540" s="84"/>
      <c r="AP540" s="84"/>
      <c r="AT540" s="84"/>
      <c r="AX540" s="84"/>
      <c r="BB540" s="85"/>
      <c r="BC540" s="84"/>
      <c r="BD540" s="84"/>
      <c r="BF540" s="84"/>
      <c r="BL540" s="84"/>
      <c r="BP540" s="86"/>
      <c r="BV540" s="84"/>
      <c r="CA540" s="84"/>
      <c r="CF540" s="84"/>
      <c r="CK540" s="84"/>
      <c r="CP540" s="84"/>
      <c r="CS540" s="86"/>
      <c r="CT540" s="84"/>
      <c r="CW540" s="86"/>
      <c r="CX540" s="84"/>
      <c r="DA540" s="86"/>
      <c r="DB540" s="84"/>
      <c r="DE540" s="86"/>
      <c r="DF540" s="84"/>
      <c r="DI540" s="86"/>
      <c r="DJ540" s="84"/>
      <c r="DM540" s="86"/>
      <c r="DN540" s="84"/>
      <c r="DQ540" s="86"/>
      <c r="DR540" s="85"/>
      <c r="DS540" s="85"/>
      <c r="DT540" s="84"/>
      <c r="DV540" s="84"/>
      <c r="DW540" s="157"/>
      <c r="EB540" s="84"/>
      <c r="EG540" s="84"/>
      <c r="EK540" s="84"/>
      <c r="EO540" s="84"/>
      <c r="ES540" s="84"/>
      <c r="EW540" s="84"/>
    </row>
    <row r="541" customFormat="false" ht="12.75" hidden="false" customHeight="false" outlineLevel="0" collapsed="false">
      <c r="A541" s="37"/>
      <c r="E541" s="83"/>
      <c r="J541" s="84"/>
      <c r="N541" s="84"/>
      <c r="R541" s="84"/>
      <c r="V541" s="84"/>
      <c r="Z541" s="84"/>
      <c r="AD541" s="84"/>
      <c r="AH541" s="84"/>
      <c r="AL541" s="84"/>
      <c r="AP541" s="84"/>
      <c r="AT541" s="84"/>
      <c r="AX541" s="84"/>
      <c r="BB541" s="85"/>
      <c r="BC541" s="84"/>
      <c r="BD541" s="84"/>
      <c r="BF541" s="84"/>
      <c r="BL541" s="84"/>
      <c r="BP541" s="86"/>
      <c r="BV541" s="84"/>
      <c r="CA541" s="84"/>
      <c r="CF541" s="84"/>
      <c r="CK541" s="84"/>
      <c r="CP541" s="84"/>
      <c r="CS541" s="86"/>
      <c r="CT541" s="84"/>
      <c r="CW541" s="86"/>
      <c r="CX541" s="84"/>
      <c r="DA541" s="86"/>
      <c r="DB541" s="84"/>
      <c r="DE541" s="86"/>
      <c r="DF541" s="84"/>
      <c r="DI541" s="86"/>
      <c r="DJ541" s="84"/>
      <c r="DM541" s="86"/>
      <c r="DN541" s="84"/>
      <c r="DQ541" s="86"/>
      <c r="DR541" s="85"/>
      <c r="DS541" s="85"/>
      <c r="DT541" s="84"/>
      <c r="DV541" s="84"/>
      <c r="DW541" s="157"/>
      <c r="EB541" s="84"/>
      <c r="EG541" s="84"/>
      <c r="EK541" s="84"/>
      <c r="EO541" s="84"/>
      <c r="ES541" s="84"/>
      <c r="EW541" s="84"/>
    </row>
    <row r="542" customFormat="false" ht="12.75" hidden="false" customHeight="false" outlineLevel="0" collapsed="false">
      <c r="A542" s="37"/>
      <c r="E542" s="83"/>
      <c r="J542" s="84"/>
      <c r="N542" s="84"/>
      <c r="R542" s="84"/>
      <c r="V542" s="84"/>
      <c r="Z542" s="84"/>
      <c r="AD542" s="84"/>
      <c r="AH542" s="84"/>
      <c r="AL542" s="84"/>
      <c r="AP542" s="84"/>
      <c r="AT542" s="84"/>
      <c r="AX542" s="84"/>
      <c r="BB542" s="85"/>
      <c r="BC542" s="84"/>
      <c r="BD542" s="84"/>
      <c r="BF542" s="84"/>
      <c r="BL542" s="84"/>
      <c r="BP542" s="86"/>
      <c r="BV542" s="84"/>
      <c r="CA542" s="84"/>
      <c r="CF542" s="84"/>
      <c r="CK542" s="84"/>
      <c r="CP542" s="84"/>
      <c r="CS542" s="86"/>
      <c r="CT542" s="84"/>
      <c r="CW542" s="86"/>
      <c r="CX542" s="84"/>
      <c r="DA542" s="86"/>
      <c r="DB542" s="84"/>
      <c r="DE542" s="86"/>
      <c r="DF542" s="84"/>
      <c r="DI542" s="86"/>
      <c r="DJ542" s="84"/>
      <c r="DM542" s="86"/>
      <c r="DN542" s="84"/>
      <c r="DQ542" s="86"/>
      <c r="DR542" s="85"/>
      <c r="DS542" s="85"/>
      <c r="DT542" s="84"/>
      <c r="DV542" s="84"/>
      <c r="DW542" s="157"/>
      <c r="EB542" s="84"/>
      <c r="EG542" s="84"/>
      <c r="EK542" s="84"/>
      <c r="EO542" s="84"/>
      <c r="ES542" s="84"/>
      <c r="EW542" s="84"/>
    </row>
    <row r="543" customFormat="false" ht="12.75" hidden="false" customHeight="false" outlineLevel="0" collapsed="false">
      <c r="A543" s="37"/>
      <c r="E543" s="83"/>
      <c r="J543" s="84"/>
      <c r="N543" s="84"/>
      <c r="R543" s="84"/>
      <c r="V543" s="84"/>
      <c r="Z543" s="84"/>
      <c r="AD543" s="84"/>
      <c r="AH543" s="84"/>
      <c r="AL543" s="84"/>
      <c r="AP543" s="84"/>
      <c r="AT543" s="84"/>
      <c r="AX543" s="84"/>
      <c r="BB543" s="85"/>
      <c r="BC543" s="84"/>
      <c r="BD543" s="84"/>
      <c r="BF543" s="84"/>
      <c r="BL543" s="84"/>
      <c r="BP543" s="86"/>
      <c r="BV543" s="84"/>
      <c r="CA543" s="84"/>
      <c r="CF543" s="84"/>
      <c r="CK543" s="84"/>
      <c r="CP543" s="84"/>
      <c r="CS543" s="86"/>
      <c r="CT543" s="84"/>
      <c r="CW543" s="86"/>
      <c r="CX543" s="84"/>
      <c r="DA543" s="86"/>
      <c r="DB543" s="84"/>
      <c r="DE543" s="86"/>
      <c r="DF543" s="84"/>
      <c r="DI543" s="86"/>
      <c r="DJ543" s="84"/>
      <c r="DM543" s="86"/>
      <c r="DN543" s="84"/>
      <c r="DQ543" s="86"/>
      <c r="DR543" s="85"/>
      <c r="DS543" s="85"/>
      <c r="DT543" s="84"/>
      <c r="DV543" s="84"/>
      <c r="DW543" s="157"/>
      <c r="EB543" s="84"/>
      <c r="EG543" s="84"/>
      <c r="EK543" s="84"/>
      <c r="EO543" s="84"/>
      <c r="ES543" s="84"/>
      <c r="EW543" s="84"/>
    </row>
    <row r="544" customFormat="false" ht="12.75" hidden="false" customHeight="false" outlineLevel="0" collapsed="false">
      <c r="A544" s="37"/>
      <c r="E544" s="83"/>
      <c r="J544" s="84"/>
      <c r="N544" s="84"/>
      <c r="R544" s="84"/>
      <c r="V544" s="84"/>
      <c r="Z544" s="84"/>
      <c r="AD544" s="84"/>
      <c r="AH544" s="84"/>
      <c r="AL544" s="84"/>
      <c r="AP544" s="84"/>
      <c r="AT544" s="84"/>
      <c r="AX544" s="84"/>
      <c r="BB544" s="85"/>
      <c r="BC544" s="84"/>
      <c r="BD544" s="84"/>
      <c r="BF544" s="84"/>
      <c r="BL544" s="84"/>
      <c r="BP544" s="86"/>
      <c r="BV544" s="84"/>
      <c r="CA544" s="84"/>
      <c r="CF544" s="84"/>
      <c r="CK544" s="84"/>
      <c r="CP544" s="84"/>
      <c r="CS544" s="86"/>
      <c r="CT544" s="84"/>
      <c r="CW544" s="86"/>
      <c r="CX544" s="84"/>
      <c r="DA544" s="86"/>
      <c r="DB544" s="84"/>
      <c r="DE544" s="86"/>
      <c r="DF544" s="84"/>
      <c r="DI544" s="86"/>
      <c r="DJ544" s="84"/>
      <c r="DM544" s="86"/>
      <c r="DN544" s="84"/>
      <c r="DQ544" s="86"/>
      <c r="DR544" s="85"/>
      <c r="DS544" s="85"/>
      <c r="DT544" s="84"/>
      <c r="DV544" s="84"/>
      <c r="DW544" s="157"/>
      <c r="EB544" s="84"/>
      <c r="EG544" s="84"/>
      <c r="EK544" s="84"/>
      <c r="EO544" s="84"/>
      <c r="ES544" s="84"/>
      <c r="EW544" s="84"/>
    </row>
    <row r="545" customFormat="false" ht="12.75" hidden="false" customHeight="false" outlineLevel="0" collapsed="false">
      <c r="A545" s="37"/>
      <c r="E545" s="83"/>
      <c r="J545" s="84"/>
      <c r="N545" s="84"/>
      <c r="R545" s="84"/>
      <c r="V545" s="84"/>
      <c r="Z545" s="84"/>
      <c r="AD545" s="84"/>
      <c r="AH545" s="84"/>
      <c r="AL545" s="84"/>
      <c r="AP545" s="84"/>
      <c r="AT545" s="84"/>
      <c r="AX545" s="84"/>
      <c r="BB545" s="85"/>
      <c r="BC545" s="84"/>
      <c r="BD545" s="84"/>
      <c r="BF545" s="84"/>
      <c r="BL545" s="84"/>
      <c r="BP545" s="86"/>
      <c r="BV545" s="84"/>
      <c r="CA545" s="84"/>
      <c r="CF545" s="84"/>
      <c r="CK545" s="84"/>
      <c r="CP545" s="84"/>
      <c r="CS545" s="86"/>
      <c r="CT545" s="84"/>
      <c r="CW545" s="86"/>
      <c r="CX545" s="84"/>
      <c r="DA545" s="86"/>
      <c r="DB545" s="84"/>
      <c r="DE545" s="86"/>
      <c r="DF545" s="84"/>
      <c r="DI545" s="86"/>
      <c r="DJ545" s="84"/>
      <c r="DM545" s="86"/>
      <c r="DN545" s="84"/>
      <c r="DQ545" s="86"/>
      <c r="DR545" s="85"/>
      <c r="DS545" s="85"/>
      <c r="DT545" s="84"/>
      <c r="DV545" s="84"/>
      <c r="DW545" s="157"/>
      <c r="EB545" s="84"/>
      <c r="EG545" s="84"/>
      <c r="EK545" s="84"/>
      <c r="EO545" s="84"/>
      <c r="ES545" s="84"/>
      <c r="EW545" s="84"/>
    </row>
    <row r="546" customFormat="false" ht="12.75" hidden="false" customHeight="false" outlineLevel="0" collapsed="false">
      <c r="A546" s="37"/>
      <c r="E546" s="83"/>
      <c r="J546" s="84"/>
      <c r="N546" s="84"/>
      <c r="R546" s="84"/>
      <c r="V546" s="84"/>
      <c r="Z546" s="84"/>
      <c r="AD546" s="84"/>
      <c r="AH546" s="84"/>
      <c r="AL546" s="84"/>
      <c r="AP546" s="84"/>
      <c r="AT546" s="84"/>
      <c r="AX546" s="84"/>
      <c r="BB546" s="85"/>
      <c r="BC546" s="84"/>
      <c r="BD546" s="84"/>
      <c r="BF546" s="84"/>
      <c r="BL546" s="84"/>
      <c r="BP546" s="86"/>
      <c r="BV546" s="84"/>
      <c r="CA546" s="84"/>
      <c r="CF546" s="84"/>
      <c r="CK546" s="84"/>
      <c r="CP546" s="84"/>
      <c r="CS546" s="86"/>
      <c r="CT546" s="84"/>
      <c r="CW546" s="86"/>
      <c r="CX546" s="84"/>
      <c r="DA546" s="86"/>
      <c r="DB546" s="84"/>
      <c r="DE546" s="86"/>
      <c r="DF546" s="84"/>
      <c r="DI546" s="86"/>
      <c r="DJ546" s="84"/>
      <c r="DM546" s="86"/>
      <c r="DN546" s="84"/>
      <c r="DQ546" s="86"/>
      <c r="DR546" s="85"/>
      <c r="DS546" s="85"/>
      <c r="DT546" s="84"/>
      <c r="DV546" s="84"/>
      <c r="DW546" s="157"/>
      <c r="EB546" s="84"/>
      <c r="EG546" s="84"/>
      <c r="EK546" s="84"/>
      <c r="EO546" s="84"/>
      <c r="ES546" s="84"/>
      <c r="EW546" s="84"/>
    </row>
    <row r="547" customFormat="false" ht="12.75" hidden="false" customHeight="false" outlineLevel="0" collapsed="false">
      <c r="A547" s="37"/>
      <c r="E547" s="83"/>
      <c r="J547" s="84"/>
      <c r="N547" s="84"/>
      <c r="R547" s="84"/>
      <c r="V547" s="84"/>
      <c r="Z547" s="84"/>
      <c r="AD547" s="84"/>
      <c r="AH547" s="84"/>
      <c r="AL547" s="84"/>
      <c r="AP547" s="84"/>
      <c r="AT547" s="84"/>
      <c r="AX547" s="84"/>
      <c r="BB547" s="85"/>
      <c r="BC547" s="84"/>
      <c r="BD547" s="84"/>
      <c r="BF547" s="84"/>
      <c r="BL547" s="84"/>
      <c r="BP547" s="86"/>
      <c r="BV547" s="84"/>
      <c r="CA547" s="84"/>
      <c r="CF547" s="84"/>
      <c r="CK547" s="84"/>
      <c r="CP547" s="84"/>
      <c r="CS547" s="86"/>
      <c r="CT547" s="84"/>
      <c r="CW547" s="86"/>
      <c r="CX547" s="84"/>
      <c r="DA547" s="86"/>
      <c r="DB547" s="84"/>
      <c r="DE547" s="86"/>
      <c r="DF547" s="84"/>
      <c r="DI547" s="86"/>
      <c r="DJ547" s="84"/>
      <c r="DM547" s="86"/>
      <c r="DN547" s="84"/>
      <c r="DQ547" s="86"/>
      <c r="DR547" s="85"/>
      <c r="DS547" s="85"/>
      <c r="DT547" s="84"/>
      <c r="DV547" s="84"/>
      <c r="DW547" s="157"/>
      <c r="EB547" s="84"/>
      <c r="EG547" s="84"/>
      <c r="EK547" s="84"/>
      <c r="EO547" s="84"/>
      <c r="ES547" s="84"/>
      <c r="EW547" s="84"/>
    </row>
    <row r="548" customFormat="false" ht="12.75" hidden="false" customHeight="false" outlineLevel="0" collapsed="false">
      <c r="A548" s="37"/>
      <c r="E548" s="83"/>
      <c r="J548" s="84"/>
      <c r="N548" s="84"/>
      <c r="R548" s="84"/>
      <c r="V548" s="84"/>
      <c r="Z548" s="84"/>
      <c r="AD548" s="84"/>
      <c r="AH548" s="84"/>
      <c r="AL548" s="84"/>
      <c r="AP548" s="84"/>
      <c r="AT548" s="84"/>
      <c r="AX548" s="84"/>
      <c r="BB548" s="85"/>
      <c r="BC548" s="84"/>
      <c r="BD548" s="84"/>
      <c r="BF548" s="84"/>
      <c r="BL548" s="84"/>
      <c r="BP548" s="86"/>
      <c r="BV548" s="84"/>
      <c r="CA548" s="84"/>
      <c r="CF548" s="84"/>
      <c r="CK548" s="84"/>
      <c r="CP548" s="84"/>
      <c r="CS548" s="86"/>
      <c r="CT548" s="84"/>
      <c r="CW548" s="86"/>
      <c r="CX548" s="84"/>
      <c r="DA548" s="86"/>
      <c r="DB548" s="84"/>
      <c r="DE548" s="86"/>
      <c r="DF548" s="84"/>
      <c r="DI548" s="86"/>
      <c r="DJ548" s="84"/>
      <c r="DM548" s="86"/>
      <c r="DN548" s="84"/>
      <c r="DQ548" s="86"/>
      <c r="DR548" s="85"/>
      <c r="DS548" s="85"/>
      <c r="DT548" s="84"/>
      <c r="DV548" s="84"/>
      <c r="DW548" s="157"/>
      <c r="EB548" s="84"/>
      <c r="EG548" s="84"/>
      <c r="EK548" s="84"/>
      <c r="EO548" s="84"/>
      <c r="ES548" s="84"/>
      <c r="EW548" s="84"/>
    </row>
    <row r="549" customFormat="false" ht="12.75" hidden="false" customHeight="false" outlineLevel="0" collapsed="false">
      <c r="A549" s="37"/>
      <c r="E549" s="83"/>
      <c r="J549" s="84"/>
      <c r="N549" s="84"/>
      <c r="R549" s="84"/>
      <c r="V549" s="84"/>
      <c r="Z549" s="84"/>
      <c r="AD549" s="84"/>
      <c r="AH549" s="84"/>
      <c r="AL549" s="84"/>
      <c r="AP549" s="84"/>
      <c r="AT549" s="84"/>
      <c r="AX549" s="84"/>
      <c r="BB549" s="85"/>
      <c r="BC549" s="84"/>
      <c r="BD549" s="84"/>
      <c r="BF549" s="84"/>
      <c r="BL549" s="84"/>
      <c r="BP549" s="86"/>
      <c r="BV549" s="84"/>
      <c r="CA549" s="84"/>
      <c r="CF549" s="84"/>
      <c r="CK549" s="84"/>
      <c r="CP549" s="84"/>
      <c r="CS549" s="86"/>
      <c r="CT549" s="84"/>
      <c r="CW549" s="86"/>
      <c r="CX549" s="84"/>
      <c r="DA549" s="86"/>
      <c r="DB549" s="84"/>
      <c r="DE549" s="86"/>
      <c r="DF549" s="84"/>
      <c r="DI549" s="86"/>
      <c r="DJ549" s="84"/>
      <c r="DM549" s="86"/>
      <c r="DN549" s="84"/>
      <c r="DQ549" s="86"/>
      <c r="DR549" s="85"/>
      <c r="DS549" s="85"/>
      <c r="DT549" s="84"/>
      <c r="DV549" s="84"/>
      <c r="DW549" s="157"/>
      <c r="EB549" s="84"/>
      <c r="EG549" s="84"/>
      <c r="EK549" s="84"/>
      <c r="EO549" s="84"/>
      <c r="ES549" s="84"/>
      <c r="EW549" s="84"/>
    </row>
    <row r="550" customFormat="false" ht="12.75" hidden="false" customHeight="false" outlineLevel="0" collapsed="false">
      <c r="A550" s="37"/>
      <c r="E550" s="83"/>
      <c r="J550" s="84"/>
      <c r="N550" s="84"/>
      <c r="R550" s="84"/>
      <c r="V550" s="84"/>
      <c r="Z550" s="84"/>
      <c r="AD550" s="84"/>
      <c r="AH550" s="84"/>
      <c r="AL550" s="84"/>
      <c r="AP550" s="84"/>
      <c r="AT550" s="84"/>
      <c r="AX550" s="84"/>
      <c r="BB550" s="85"/>
      <c r="BC550" s="84"/>
      <c r="BD550" s="84"/>
      <c r="BF550" s="84"/>
      <c r="BL550" s="84"/>
      <c r="BP550" s="86"/>
      <c r="BV550" s="84"/>
      <c r="CA550" s="84"/>
      <c r="CF550" s="84"/>
      <c r="CK550" s="84"/>
      <c r="CP550" s="84"/>
      <c r="CS550" s="86"/>
      <c r="CT550" s="84"/>
      <c r="CW550" s="86"/>
      <c r="CX550" s="84"/>
      <c r="DA550" s="86"/>
      <c r="DB550" s="84"/>
      <c r="DE550" s="86"/>
      <c r="DF550" s="84"/>
      <c r="DI550" s="86"/>
      <c r="DJ550" s="84"/>
      <c r="DM550" s="86"/>
      <c r="DN550" s="84"/>
      <c r="DQ550" s="86"/>
      <c r="DR550" s="85"/>
      <c r="DS550" s="85"/>
      <c r="DT550" s="84"/>
      <c r="DV550" s="84"/>
      <c r="DW550" s="157"/>
      <c r="EB550" s="84"/>
      <c r="EG550" s="84"/>
      <c r="EK550" s="84"/>
      <c r="EO550" s="84"/>
      <c r="ES550" s="84"/>
      <c r="EW550" s="84"/>
    </row>
    <row r="551" customFormat="false" ht="12.75" hidden="false" customHeight="false" outlineLevel="0" collapsed="false">
      <c r="A551" s="37"/>
      <c r="E551" s="83"/>
      <c r="J551" s="84"/>
      <c r="N551" s="84"/>
      <c r="R551" s="84"/>
      <c r="V551" s="84"/>
      <c r="Z551" s="84"/>
      <c r="AD551" s="84"/>
      <c r="AH551" s="84"/>
      <c r="AL551" s="84"/>
      <c r="AP551" s="84"/>
      <c r="AT551" s="84"/>
      <c r="AX551" s="84"/>
      <c r="BB551" s="85"/>
      <c r="BC551" s="84"/>
      <c r="BD551" s="84"/>
      <c r="BF551" s="84"/>
      <c r="BL551" s="84"/>
      <c r="BP551" s="86"/>
      <c r="BV551" s="84"/>
      <c r="CA551" s="84"/>
      <c r="CF551" s="84"/>
      <c r="CK551" s="84"/>
      <c r="CP551" s="84"/>
      <c r="CS551" s="86"/>
      <c r="CT551" s="84"/>
      <c r="CW551" s="86"/>
      <c r="CX551" s="84"/>
      <c r="DA551" s="86"/>
      <c r="DB551" s="84"/>
      <c r="DE551" s="86"/>
      <c r="DF551" s="84"/>
      <c r="DI551" s="86"/>
      <c r="DJ551" s="84"/>
      <c r="DM551" s="86"/>
      <c r="DN551" s="84"/>
      <c r="DQ551" s="86"/>
      <c r="DR551" s="85"/>
      <c r="DS551" s="85"/>
      <c r="DT551" s="84"/>
      <c r="DV551" s="84"/>
      <c r="DW551" s="157"/>
      <c r="EB551" s="84"/>
      <c r="EG551" s="84"/>
      <c r="EK551" s="84"/>
      <c r="EO551" s="84"/>
      <c r="ES551" s="84"/>
      <c r="EW551" s="84"/>
    </row>
    <row r="552" customFormat="false" ht="12.75" hidden="false" customHeight="false" outlineLevel="0" collapsed="false">
      <c r="A552" s="37"/>
      <c r="E552" s="83"/>
      <c r="J552" s="84"/>
      <c r="N552" s="84"/>
      <c r="R552" s="84"/>
      <c r="V552" s="84"/>
      <c r="Z552" s="84"/>
      <c r="AD552" s="84"/>
      <c r="AH552" s="84"/>
      <c r="AL552" s="84"/>
      <c r="AP552" s="84"/>
      <c r="AT552" s="84"/>
      <c r="AX552" s="84"/>
      <c r="BB552" s="85"/>
      <c r="BC552" s="84"/>
      <c r="BD552" s="84"/>
      <c r="BF552" s="84"/>
      <c r="BL552" s="84"/>
      <c r="BP552" s="86"/>
      <c r="BV552" s="84"/>
      <c r="CA552" s="84"/>
      <c r="CF552" s="84"/>
      <c r="CK552" s="84"/>
      <c r="CP552" s="84"/>
      <c r="CS552" s="86"/>
      <c r="CT552" s="84"/>
      <c r="CW552" s="86"/>
      <c r="CX552" s="84"/>
      <c r="DA552" s="86"/>
      <c r="DB552" s="84"/>
      <c r="DE552" s="86"/>
      <c r="DF552" s="84"/>
      <c r="DI552" s="86"/>
      <c r="DJ552" s="84"/>
      <c r="DM552" s="86"/>
      <c r="DN552" s="84"/>
      <c r="DQ552" s="86"/>
      <c r="DR552" s="85"/>
      <c r="DS552" s="85"/>
      <c r="DT552" s="84"/>
      <c r="DV552" s="84"/>
      <c r="DW552" s="157"/>
      <c r="EB552" s="84"/>
      <c r="EG552" s="84"/>
      <c r="EK552" s="84"/>
      <c r="EO552" s="84"/>
      <c r="ES552" s="84"/>
      <c r="EW552" s="84"/>
    </row>
    <row r="553" customFormat="false" ht="12.75" hidden="false" customHeight="false" outlineLevel="0" collapsed="false">
      <c r="A553" s="37"/>
      <c r="E553" s="83"/>
      <c r="J553" s="84"/>
      <c r="N553" s="84"/>
      <c r="R553" s="84"/>
      <c r="V553" s="84"/>
      <c r="Z553" s="84"/>
      <c r="AD553" s="84"/>
      <c r="AH553" s="84"/>
      <c r="AL553" s="84"/>
      <c r="AP553" s="84"/>
      <c r="AT553" s="84"/>
      <c r="AX553" s="84"/>
      <c r="BB553" s="85"/>
      <c r="BC553" s="84"/>
      <c r="BD553" s="84"/>
      <c r="BF553" s="84"/>
      <c r="BL553" s="84"/>
      <c r="BP553" s="86"/>
      <c r="BV553" s="84"/>
      <c r="CA553" s="84"/>
      <c r="CF553" s="84"/>
      <c r="CK553" s="84"/>
      <c r="CP553" s="84"/>
      <c r="CS553" s="86"/>
      <c r="CT553" s="84"/>
      <c r="CW553" s="86"/>
      <c r="CX553" s="84"/>
      <c r="DA553" s="86"/>
      <c r="DB553" s="84"/>
      <c r="DE553" s="86"/>
      <c r="DF553" s="84"/>
      <c r="DI553" s="86"/>
      <c r="DJ553" s="84"/>
      <c r="DM553" s="86"/>
      <c r="DN553" s="84"/>
      <c r="DQ553" s="86"/>
      <c r="DR553" s="85"/>
      <c r="DS553" s="85"/>
      <c r="DT553" s="84"/>
      <c r="DV553" s="84"/>
      <c r="DW553" s="157"/>
      <c r="EB553" s="84"/>
      <c r="EG553" s="84"/>
      <c r="EK553" s="84"/>
      <c r="EO553" s="84"/>
      <c r="ES553" s="84"/>
      <c r="EW553" s="84"/>
    </row>
    <row r="554" customFormat="false" ht="12.75" hidden="false" customHeight="false" outlineLevel="0" collapsed="false">
      <c r="A554" s="37"/>
      <c r="E554" s="83"/>
      <c r="J554" s="84"/>
      <c r="N554" s="84"/>
      <c r="R554" s="84"/>
      <c r="V554" s="84"/>
      <c r="Z554" s="84"/>
      <c r="AD554" s="84"/>
      <c r="AH554" s="84"/>
      <c r="AL554" s="84"/>
      <c r="AP554" s="84"/>
      <c r="AT554" s="84"/>
      <c r="AX554" s="84"/>
      <c r="BB554" s="85"/>
      <c r="BC554" s="84"/>
      <c r="BD554" s="84"/>
      <c r="BF554" s="84"/>
      <c r="BL554" s="84"/>
      <c r="BP554" s="86"/>
      <c r="BV554" s="84"/>
      <c r="CA554" s="84"/>
      <c r="CF554" s="84"/>
      <c r="CK554" s="84"/>
      <c r="CP554" s="84"/>
      <c r="CS554" s="86"/>
      <c r="CT554" s="84"/>
      <c r="CW554" s="86"/>
      <c r="CX554" s="84"/>
      <c r="DA554" s="86"/>
      <c r="DB554" s="84"/>
      <c r="DE554" s="86"/>
      <c r="DF554" s="84"/>
      <c r="DI554" s="86"/>
      <c r="DJ554" s="84"/>
      <c r="DM554" s="86"/>
      <c r="DN554" s="84"/>
      <c r="DQ554" s="86"/>
      <c r="DR554" s="85"/>
      <c r="DS554" s="85"/>
      <c r="DT554" s="84"/>
      <c r="DV554" s="84"/>
      <c r="DW554" s="157"/>
      <c r="EB554" s="84"/>
      <c r="EG554" s="84"/>
      <c r="EK554" s="84"/>
      <c r="EO554" s="84"/>
      <c r="ES554" s="84"/>
      <c r="EW554" s="84"/>
    </row>
    <row r="555" customFormat="false" ht="12.75" hidden="false" customHeight="false" outlineLevel="0" collapsed="false">
      <c r="A555" s="37"/>
      <c r="E555" s="83"/>
      <c r="J555" s="84"/>
      <c r="N555" s="84"/>
      <c r="R555" s="84"/>
      <c r="V555" s="84"/>
      <c r="Z555" s="84"/>
      <c r="AD555" s="84"/>
      <c r="AH555" s="84"/>
      <c r="AL555" s="84"/>
      <c r="AP555" s="84"/>
      <c r="AT555" s="84"/>
      <c r="AX555" s="84"/>
      <c r="BB555" s="85"/>
      <c r="BC555" s="84"/>
      <c r="BD555" s="84"/>
      <c r="BF555" s="84"/>
      <c r="BL555" s="84"/>
      <c r="BP555" s="86"/>
      <c r="BV555" s="84"/>
      <c r="CA555" s="84"/>
      <c r="CF555" s="84"/>
      <c r="CK555" s="84"/>
      <c r="CP555" s="84"/>
      <c r="CS555" s="86"/>
      <c r="CT555" s="84"/>
      <c r="CW555" s="86"/>
      <c r="CX555" s="84"/>
      <c r="DA555" s="86"/>
      <c r="DB555" s="84"/>
      <c r="DE555" s="86"/>
      <c r="DF555" s="84"/>
      <c r="DI555" s="86"/>
      <c r="DJ555" s="84"/>
      <c r="DM555" s="86"/>
      <c r="DN555" s="84"/>
      <c r="DQ555" s="86"/>
      <c r="DR555" s="85"/>
      <c r="DS555" s="85"/>
      <c r="DT555" s="84"/>
      <c r="DV555" s="84"/>
      <c r="DW555" s="157"/>
      <c r="EB555" s="84"/>
      <c r="EG555" s="84"/>
      <c r="EK555" s="84"/>
      <c r="EO555" s="84"/>
      <c r="ES555" s="84"/>
      <c r="EW555" s="84"/>
    </row>
    <row r="556" customFormat="false" ht="12.75" hidden="false" customHeight="false" outlineLevel="0" collapsed="false">
      <c r="A556" s="37"/>
      <c r="E556" s="83"/>
      <c r="J556" s="84"/>
      <c r="N556" s="84"/>
      <c r="R556" s="84"/>
      <c r="V556" s="84"/>
      <c r="Z556" s="84"/>
      <c r="AD556" s="84"/>
      <c r="AH556" s="84"/>
      <c r="AL556" s="84"/>
      <c r="AP556" s="84"/>
      <c r="AT556" s="84"/>
      <c r="AX556" s="84"/>
      <c r="BB556" s="85"/>
      <c r="BC556" s="84"/>
      <c r="BD556" s="84"/>
      <c r="BF556" s="84"/>
      <c r="BL556" s="84"/>
      <c r="BP556" s="86"/>
      <c r="BV556" s="84"/>
      <c r="CA556" s="84"/>
      <c r="CF556" s="84"/>
      <c r="CK556" s="84"/>
      <c r="CP556" s="84"/>
      <c r="CS556" s="86"/>
      <c r="CT556" s="84"/>
      <c r="CW556" s="86"/>
      <c r="CX556" s="84"/>
      <c r="DA556" s="86"/>
      <c r="DB556" s="84"/>
      <c r="DE556" s="86"/>
      <c r="DF556" s="84"/>
      <c r="DI556" s="86"/>
      <c r="DJ556" s="84"/>
      <c r="DM556" s="86"/>
      <c r="DN556" s="84"/>
      <c r="DQ556" s="86"/>
      <c r="DR556" s="85"/>
      <c r="DS556" s="85"/>
      <c r="DT556" s="84"/>
      <c r="DV556" s="84"/>
      <c r="DW556" s="157"/>
      <c r="EB556" s="84"/>
      <c r="EG556" s="84"/>
      <c r="EK556" s="84"/>
      <c r="EO556" s="84"/>
      <c r="ES556" s="84"/>
      <c r="EW556" s="84"/>
    </row>
    <row r="557" customFormat="false" ht="12.75" hidden="false" customHeight="false" outlineLevel="0" collapsed="false">
      <c r="A557" s="37"/>
      <c r="E557" s="83"/>
      <c r="J557" s="84"/>
      <c r="N557" s="84"/>
      <c r="R557" s="84"/>
      <c r="V557" s="84"/>
      <c r="Z557" s="84"/>
      <c r="AD557" s="84"/>
      <c r="AH557" s="84"/>
      <c r="AL557" s="84"/>
      <c r="AP557" s="84"/>
      <c r="AT557" s="84"/>
      <c r="AX557" s="84"/>
      <c r="BB557" s="85"/>
      <c r="BC557" s="84"/>
      <c r="BD557" s="84"/>
      <c r="BF557" s="84"/>
      <c r="BL557" s="84"/>
      <c r="BP557" s="86"/>
      <c r="BV557" s="84"/>
      <c r="CA557" s="84"/>
      <c r="CF557" s="84"/>
      <c r="CK557" s="84"/>
      <c r="CP557" s="84"/>
      <c r="CS557" s="86"/>
      <c r="CT557" s="84"/>
      <c r="CW557" s="86"/>
      <c r="CX557" s="84"/>
      <c r="DA557" s="86"/>
      <c r="DB557" s="84"/>
      <c r="DE557" s="86"/>
      <c r="DF557" s="84"/>
      <c r="DI557" s="86"/>
      <c r="DJ557" s="84"/>
      <c r="DM557" s="86"/>
      <c r="DN557" s="84"/>
      <c r="DQ557" s="86"/>
      <c r="DR557" s="85"/>
      <c r="DS557" s="85"/>
      <c r="DT557" s="84"/>
      <c r="DV557" s="84"/>
      <c r="DW557" s="157"/>
      <c r="EB557" s="84"/>
      <c r="EG557" s="84"/>
      <c r="EK557" s="84"/>
      <c r="EO557" s="84"/>
      <c r="ES557" s="84"/>
      <c r="EW557" s="84"/>
    </row>
    <row r="558" customFormat="false" ht="12.75" hidden="false" customHeight="false" outlineLevel="0" collapsed="false">
      <c r="A558" s="37"/>
      <c r="E558" s="83"/>
      <c r="J558" s="84"/>
      <c r="N558" s="84"/>
      <c r="R558" s="84"/>
      <c r="V558" s="84"/>
      <c r="Z558" s="84"/>
      <c r="AD558" s="84"/>
      <c r="AH558" s="84"/>
      <c r="AL558" s="84"/>
      <c r="AP558" s="84"/>
      <c r="AT558" s="84"/>
      <c r="AX558" s="84"/>
      <c r="BB558" s="85"/>
      <c r="BC558" s="84"/>
      <c r="BD558" s="84"/>
      <c r="BF558" s="84"/>
      <c r="BL558" s="84"/>
      <c r="BP558" s="86"/>
      <c r="BV558" s="84"/>
      <c r="CA558" s="84"/>
      <c r="CF558" s="84"/>
      <c r="CK558" s="84"/>
      <c r="CP558" s="84"/>
      <c r="CS558" s="86"/>
      <c r="CT558" s="84"/>
      <c r="CW558" s="86"/>
      <c r="CX558" s="84"/>
      <c r="DA558" s="86"/>
      <c r="DB558" s="84"/>
      <c r="DE558" s="86"/>
      <c r="DF558" s="84"/>
      <c r="DI558" s="86"/>
      <c r="DJ558" s="84"/>
      <c r="DM558" s="86"/>
      <c r="DN558" s="84"/>
      <c r="DQ558" s="86"/>
      <c r="DR558" s="85"/>
      <c r="DS558" s="85"/>
      <c r="DT558" s="84"/>
      <c r="DV558" s="84"/>
      <c r="DW558" s="157"/>
      <c r="EB558" s="84"/>
      <c r="EG558" s="84"/>
      <c r="EK558" s="84"/>
      <c r="EO558" s="84"/>
      <c r="ES558" s="84"/>
      <c r="EW558" s="84"/>
    </row>
    <row r="559" customFormat="false" ht="12.75" hidden="false" customHeight="false" outlineLevel="0" collapsed="false">
      <c r="A559" s="37"/>
      <c r="E559" s="83"/>
      <c r="J559" s="84"/>
      <c r="N559" s="84"/>
      <c r="R559" s="84"/>
      <c r="V559" s="84"/>
      <c r="Z559" s="84"/>
      <c r="AD559" s="84"/>
      <c r="AH559" s="84"/>
      <c r="AL559" s="84"/>
      <c r="AP559" s="84"/>
      <c r="AT559" s="84"/>
      <c r="AX559" s="84"/>
      <c r="BB559" s="85"/>
      <c r="BC559" s="84"/>
      <c r="BD559" s="84"/>
      <c r="BF559" s="84"/>
      <c r="BL559" s="84"/>
      <c r="BP559" s="86"/>
      <c r="BV559" s="84"/>
      <c r="CA559" s="84"/>
      <c r="CF559" s="84"/>
      <c r="CK559" s="84"/>
      <c r="CP559" s="84"/>
      <c r="CS559" s="86"/>
      <c r="CT559" s="84"/>
      <c r="CW559" s="86"/>
      <c r="CX559" s="84"/>
      <c r="DA559" s="86"/>
      <c r="DB559" s="84"/>
      <c r="DE559" s="86"/>
      <c r="DF559" s="84"/>
      <c r="DI559" s="86"/>
      <c r="DJ559" s="84"/>
      <c r="DM559" s="86"/>
      <c r="DN559" s="84"/>
      <c r="DQ559" s="86"/>
      <c r="DR559" s="85"/>
      <c r="DS559" s="85"/>
      <c r="DT559" s="84"/>
      <c r="DV559" s="84"/>
      <c r="DW559" s="157"/>
      <c r="EB559" s="84"/>
      <c r="EG559" s="84"/>
      <c r="EK559" s="84"/>
      <c r="EO559" s="84"/>
      <c r="ES559" s="84"/>
      <c r="EW559" s="84"/>
    </row>
    <row r="560" customFormat="false" ht="12.75" hidden="false" customHeight="false" outlineLevel="0" collapsed="false">
      <c r="A560" s="37"/>
      <c r="E560" s="83"/>
      <c r="J560" s="84"/>
      <c r="N560" s="84"/>
      <c r="R560" s="84"/>
      <c r="V560" s="84"/>
      <c r="Z560" s="84"/>
      <c r="AD560" s="84"/>
      <c r="AH560" s="84"/>
      <c r="AL560" s="84"/>
      <c r="AP560" s="84"/>
      <c r="AT560" s="84"/>
      <c r="AX560" s="84"/>
      <c r="BB560" s="85"/>
      <c r="BC560" s="84"/>
      <c r="BD560" s="84"/>
      <c r="BF560" s="84"/>
      <c r="BL560" s="84"/>
      <c r="BP560" s="86"/>
      <c r="BV560" s="84"/>
      <c r="CA560" s="84"/>
      <c r="CF560" s="84"/>
      <c r="CK560" s="84"/>
      <c r="CP560" s="84"/>
      <c r="CS560" s="86"/>
      <c r="CT560" s="84"/>
      <c r="CW560" s="86"/>
      <c r="CX560" s="84"/>
      <c r="DA560" s="86"/>
      <c r="DB560" s="84"/>
      <c r="DE560" s="86"/>
      <c r="DF560" s="84"/>
      <c r="DI560" s="86"/>
      <c r="DJ560" s="84"/>
      <c r="DM560" s="86"/>
      <c r="DN560" s="84"/>
      <c r="DQ560" s="86"/>
      <c r="DR560" s="85"/>
      <c r="DS560" s="85"/>
      <c r="DT560" s="84"/>
      <c r="DV560" s="84"/>
      <c r="DW560" s="157"/>
      <c r="EB560" s="84"/>
      <c r="EG560" s="84"/>
      <c r="EK560" s="84"/>
      <c r="EO560" s="84"/>
      <c r="ES560" s="84"/>
      <c r="EW560" s="84"/>
    </row>
    <row r="561" customFormat="false" ht="12.75" hidden="false" customHeight="false" outlineLevel="0" collapsed="false">
      <c r="A561" s="37"/>
      <c r="E561" s="83"/>
      <c r="J561" s="84"/>
      <c r="N561" s="84"/>
      <c r="R561" s="84"/>
      <c r="V561" s="84"/>
      <c r="Z561" s="84"/>
      <c r="AD561" s="84"/>
      <c r="AH561" s="84"/>
      <c r="AL561" s="84"/>
      <c r="AP561" s="84"/>
      <c r="AT561" s="84"/>
      <c r="AX561" s="84"/>
      <c r="BB561" s="85"/>
      <c r="BC561" s="84"/>
      <c r="BD561" s="84"/>
      <c r="BF561" s="84"/>
      <c r="BL561" s="84"/>
      <c r="BP561" s="86"/>
      <c r="BV561" s="84"/>
      <c r="CA561" s="84"/>
      <c r="CF561" s="84"/>
      <c r="CK561" s="84"/>
      <c r="CP561" s="84"/>
      <c r="CS561" s="86"/>
      <c r="CT561" s="84"/>
      <c r="CW561" s="86"/>
      <c r="CX561" s="84"/>
      <c r="DA561" s="86"/>
      <c r="DB561" s="84"/>
      <c r="DE561" s="86"/>
      <c r="DF561" s="84"/>
      <c r="DI561" s="86"/>
      <c r="DJ561" s="84"/>
      <c r="DM561" s="86"/>
      <c r="DN561" s="84"/>
      <c r="DQ561" s="86"/>
      <c r="DR561" s="85"/>
      <c r="DS561" s="85"/>
      <c r="DT561" s="84"/>
      <c r="DV561" s="84"/>
      <c r="DW561" s="157"/>
      <c r="EB561" s="84"/>
      <c r="EG561" s="84"/>
      <c r="EK561" s="84"/>
      <c r="EO561" s="84"/>
      <c r="ES561" s="84"/>
      <c r="EW561" s="84"/>
    </row>
    <row r="562" customFormat="false" ht="12.75" hidden="false" customHeight="false" outlineLevel="0" collapsed="false">
      <c r="A562" s="37"/>
      <c r="E562" s="83"/>
      <c r="J562" s="84"/>
      <c r="N562" s="84"/>
      <c r="R562" s="84"/>
      <c r="V562" s="84"/>
      <c r="Z562" s="84"/>
      <c r="AD562" s="84"/>
      <c r="AH562" s="84"/>
      <c r="AL562" s="84"/>
      <c r="AP562" s="84"/>
      <c r="AT562" s="84"/>
      <c r="AX562" s="84"/>
      <c r="BB562" s="85"/>
      <c r="BC562" s="84"/>
      <c r="BD562" s="84"/>
      <c r="BF562" s="84"/>
      <c r="BL562" s="84"/>
      <c r="BP562" s="86"/>
      <c r="BV562" s="84"/>
      <c r="CA562" s="84"/>
      <c r="CF562" s="84"/>
      <c r="CK562" s="84"/>
      <c r="CP562" s="84"/>
      <c r="CS562" s="86"/>
      <c r="CT562" s="84"/>
      <c r="CW562" s="86"/>
      <c r="CX562" s="84"/>
      <c r="DA562" s="86"/>
      <c r="DB562" s="84"/>
      <c r="DE562" s="86"/>
      <c r="DF562" s="84"/>
      <c r="DI562" s="86"/>
      <c r="DJ562" s="84"/>
      <c r="DM562" s="86"/>
      <c r="DN562" s="84"/>
      <c r="DQ562" s="86"/>
      <c r="DR562" s="85"/>
      <c r="DS562" s="85"/>
      <c r="DT562" s="84"/>
      <c r="DV562" s="84"/>
      <c r="DW562" s="157"/>
      <c r="EB562" s="84"/>
      <c r="EG562" s="84"/>
      <c r="EK562" s="84"/>
      <c r="EO562" s="84"/>
      <c r="ES562" s="84"/>
      <c r="EW562" s="84"/>
    </row>
    <row r="563" customFormat="false" ht="12.75" hidden="false" customHeight="false" outlineLevel="0" collapsed="false">
      <c r="A563" s="37"/>
      <c r="E563" s="83"/>
      <c r="J563" s="84"/>
      <c r="N563" s="84"/>
      <c r="R563" s="84"/>
      <c r="V563" s="84"/>
      <c r="Z563" s="84"/>
      <c r="AD563" s="84"/>
      <c r="AH563" s="84"/>
      <c r="AL563" s="84"/>
      <c r="AP563" s="84"/>
      <c r="AT563" s="84"/>
      <c r="AX563" s="84"/>
      <c r="BB563" s="85"/>
      <c r="BC563" s="84"/>
      <c r="BD563" s="84"/>
      <c r="BF563" s="84"/>
      <c r="BL563" s="84"/>
      <c r="BP563" s="86"/>
      <c r="BV563" s="84"/>
      <c r="CA563" s="84"/>
      <c r="CF563" s="84"/>
      <c r="CK563" s="84"/>
      <c r="CP563" s="84"/>
      <c r="CS563" s="86"/>
      <c r="CT563" s="84"/>
      <c r="CW563" s="86"/>
      <c r="CX563" s="84"/>
      <c r="DA563" s="86"/>
      <c r="DB563" s="84"/>
      <c r="DE563" s="86"/>
      <c r="DF563" s="84"/>
      <c r="DI563" s="86"/>
      <c r="DJ563" s="84"/>
      <c r="DM563" s="86"/>
      <c r="DN563" s="84"/>
      <c r="DQ563" s="86"/>
      <c r="DR563" s="85"/>
      <c r="DS563" s="85"/>
      <c r="DT563" s="84"/>
      <c r="DV563" s="84"/>
      <c r="DW563" s="157"/>
      <c r="EB563" s="84"/>
      <c r="EG563" s="84"/>
      <c r="EK563" s="84"/>
      <c r="EO563" s="84"/>
      <c r="ES563" s="84"/>
      <c r="EW563" s="84"/>
    </row>
    <row r="564" customFormat="false" ht="12.75" hidden="false" customHeight="false" outlineLevel="0" collapsed="false">
      <c r="A564" s="37"/>
      <c r="E564" s="83"/>
      <c r="J564" s="84"/>
      <c r="N564" s="84"/>
      <c r="R564" s="84"/>
      <c r="V564" s="84"/>
      <c r="Z564" s="84"/>
      <c r="AD564" s="84"/>
      <c r="AH564" s="84"/>
      <c r="AL564" s="84"/>
      <c r="AP564" s="84"/>
      <c r="AT564" s="84"/>
      <c r="AX564" s="84"/>
      <c r="BB564" s="85"/>
      <c r="BC564" s="84"/>
      <c r="BD564" s="84"/>
      <c r="BF564" s="84"/>
      <c r="BL564" s="84"/>
      <c r="BP564" s="86"/>
      <c r="BV564" s="84"/>
      <c r="CA564" s="84"/>
      <c r="CF564" s="84"/>
      <c r="CK564" s="84"/>
      <c r="CP564" s="84"/>
      <c r="CS564" s="86"/>
      <c r="CT564" s="84"/>
      <c r="CW564" s="86"/>
      <c r="CX564" s="84"/>
      <c r="DA564" s="86"/>
      <c r="DB564" s="84"/>
      <c r="DE564" s="86"/>
      <c r="DF564" s="84"/>
      <c r="DI564" s="86"/>
      <c r="DJ564" s="84"/>
      <c r="DM564" s="86"/>
      <c r="DN564" s="84"/>
      <c r="DQ564" s="86"/>
      <c r="DR564" s="85"/>
      <c r="DS564" s="85"/>
      <c r="DT564" s="84"/>
      <c r="DV564" s="84"/>
      <c r="DW564" s="157"/>
      <c r="EB564" s="84"/>
      <c r="EG564" s="84"/>
      <c r="EK564" s="84"/>
      <c r="EO564" s="84"/>
      <c r="ES564" s="84"/>
      <c r="EW564" s="84"/>
    </row>
    <row r="565" customFormat="false" ht="12.75" hidden="false" customHeight="false" outlineLevel="0" collapsed="false">
      <c r="A565" s="37"/>
      <c r="E565" s="83"/>
      <c r="J565" s="84"/>
      <c r="N565" s="84"/>
      <c r="R565" s="84"/>
      <c r="V565" s="84"/>
      <c r="Z565" s="84"/>
      <c r="AD565" s="84"/>
      <c r="AH565" s="84"/>
      <c r="AL565" s="84"/>
      <c r="AP565" s="84"/>
      <c r="AT565" s="84"/>
      <c r="AX565" s="84"/>
      <c r="BB565" s="85"/>
      <c r="BC565" s="84"/>
      <c r="BD565" s="84"/>
      <c r="BF565" s="84"/>
      <c r="BL565" s="84"/>
      <c r="BP565" s="86"/>
      <c r="BV565" s="84"/>
      <c r="CA565" s="84"/>
      <c r="CF565" s="84"/>
      <c r="CK565" s="84"/>
      <c r="CP565" s="84"/>
      <c r="CS565" s="86"/>
      <c r="CT565" s="84"/>
      <c r="CW565" s="86"/>
      <c r="CX565" s="84"/>
      <c r="DA565" s="86"/>
      <c r="DB565" s="84"/>
      <c r="DE565" s="86"/>
      <c r="DF565" s="84"/>
      <c r="DI565" s="86"/>
      <c r="DJ565" s="84"/>
      <c r="DM565" s="86"/>
      <c r="DN565" s="84"/>
      <c r="DQ565" s="86"/>
      <c r="DR565" s="85"/>
      <c r="DS565" s="85"/>
      <c r="DT565" s="84"/>
      <c r="DV565" s="84"/>
      <c r="DW565" s="157"/>
      <c r="EB565" s="84"/>
      <c r="EG565" s="84"/>
      <c r="EK565" s="84"/>
      <c r="EO565" s="84"/>
      <c r="ES565" s="84"/>
      <c r="EW565" s="84"/>
    </row>
    <row r="566" customFormat="false" ht="12.75" hidden="false" customHeight="false" outlineLevel="0" collapsed="false">
      <c r="A566" s="37"/>
      <c r="E566" s="83"/>
      <c r="J566" s="84"/>
      <c r="N566" s="84"/>
      <c r="R566" s="84"/>
      <c r="V566" s="84"/>
      <c r="Z566" s="84"/>
      <c r="AD566" s="84"/>
      <c r="AH566" s="84"/>
      <c r="AL566" s="84"/>
      <c r="AP566" s="84"/>
      <c r="AT566" s="84"/>
      <c r="AX566" s="84"/>
      <c r="BB566" s="85"/>
      <c r="BC566" s="84"/>
      <c r="BD566" s="84"/>
      <c r="BF566" s="84"/>
      <c r="BL566" s="84"/>
      <c r="BP566" s="86"/>
      <c r="BV566" s="84"/>
      <c r="CA566" s="84"/>
      <c r="CF566" s="84"/>
      <c r="CK566" s="84"/>
      <c r="CP566" s="84"/>
      <c r="CS566" s="86"/>
      <c r="CT566" s="84"/>
      <c r="CW566" s="86"/>
      <c r="CX566" s="84"/>
      <c r="DA566" s="86"/>
      <c r="DB566" s="84"/>
      <c r="DE566" s="86"/>
      <c r="DF566" s="84"/>
      <c r="DI566" s="86"/>
      <c r="DJ566" s="84"/>
      <c r="DM566" s="86"/>
      <c r="DN566" s="84"/>
      <c r="DQ566" s="86"/>
      <c r="DR566" s="85"/>
      <c r="DS566" s="85"/>
      <c r="DT566" s="84"/>
      <c r="DV566" s="84"/>
      <c r="DW566" s="157"/>
      <c r="EB566" s="84"/>
      <c r="EG566" s="84"/>
      <c r="EK566" s="84"/>
      <c r="EO566" s="84"/>
      <c r="ES566" s="84"/>
      <c r="EW566" s="84"/>
    </row>
    <row r="567" customFormat="false" ht="12.75" hidden="false" customHeight="false" outlineLevel="0" collapsed="false">
      <c r="A567" s="37"/>
      <c r="E567" s="83"/>
      <c r="J567" s="84"/>
      <c r="N567" s="84"/>
      <c r="R567" s="84"/>
      <c r="V567" s="84"/>
      <c r="Z567" s="84"/>
      <c r="AD567" s="84"/>
      <c r="AH567" s="84"/>
      <c r="AL567" s="84"/>
      <c r="AP567" s="84"/>
      <c r="AT567" s="84"/>
      <c r="AX567" s="84"/>
      <c r="BB567" s="85"/>
      <c r="BC567" s="84"/>
      <c r="BD567" s="84"/>
      <c r="BF567" s="84"/>
      <c r="BL567" s="84"/>
      <c r="BP567" s="86"/>
      <c r="BV567" s="84"/>
      <c r="CA567" s="84"/>
      <c r="CF567" s="84"/>
      <c r="CK567" s="84"/>
      <c r="CP567" s="84"/>
      <c r="CS567" s="86"/>
      <c r="CT567" s="84"/>
      <c r="CW567" s="86"/>
      <c r="CX567" s="84"/>
      <c r="DA567" s="86"/>
      <c r="DB567" s="84"/>
      <c r="DE567" s="86"/>
      <c r="DF567" s="84"/>
      <c r="DI567" s="86"/>
      <c r="DJ567" s="84"/>
      <c r="DM567" s="86"/>
      <c r="DN567" s="84"/>
      <c r="DQ567" s="86"/>
      <c r="DR567" s="85"/>
      <c r="DS567" s="85"/>
      <c r="DT567" s="84"/>
      <c r="DV567" s="84"/>
      <c r="DW567" s="157"/>
      <c r="EB567" s="84"/>
      <c r="EG567" s="84"/>
      <c r="EK567" s="84"/>
      <c r="EO567" s="84"/>
      <c r="ES567" s="84"/>
      <c r="EW567" s="84"/>
    </row>
    <row r="568" customFormat="false" ht="12.75" hidden="false" customHeight="false" outlineLevel="0" collapsed="false">
      <c r="A568" s="37"/>
      <c r="E568" s="83"/>
      <c r="J568" s="84"/>
      <c r="N568" s="84"/>
      <c r="R568" s="84"/>
      <c r="V568" s="84"/>
      <c r="Z568" s="84"/>
      <c r="AD568" s="84"/>
      <c r="AH568" s="84"/>
      <c r="AL568" s="84"/>
      <c r="AP568" s="84"/>
      <c r="AT568" s="84"/>
      <c r="AX568" s="84"/>
      <c r="BB568" s="85"/>
      <c r="BC568" s="84"/>
      <c r="BD568" s="84"/>
      <c r="BF568" s="84"/>
      <c r="BL568" s="84"/>
      <c r="BP568" s="86"/>
      <c r="BV568" s="84"/>
      <c r="CA568" s="84"/>
      <c r="CF568" s="84"/>
      <c r="CK568" s="84"/>
      <c r="CP568" s="84"/>
      <c r="CS568" s="86"/>
      <c r="CT568" s="84"/>
      <c r="CW568" s="86"/>
      <c r="CX568" s="84"/>
      <c r="DA568" s="86"/>
      <c r="DB568" s="84"/>
      <c r="DE568" s="86"/>
      <c r="DF568" s="84"/>
      <c r="DI568" s="86"/>
      <c r="DJ568" s="84"/>
      <c r="DM568" s="86"/>
      <c r="DN568" s="84"/>
      <c r="DQ568" s="86"/>
      <c r="DR568" s="85"/>
      <c r="DS568" s="85"/>
      <c r="DT568" s="84"/>
      <c r="DV568" s="84"/>
      <c r="DW568" s="157"/>
      <c r="EB568" s="84"/>
      <c r="EG568" s="84"/>
      <c r="EK568" s="84"/>
      <c r="EO568" s="84"/>
      <c r="ES568" s="84"/>
      <c r="EW568" s="84"/>
    </row>
    <row r="569" customFormat="false" ht="12.75" hidden="false" customHeight="false" outlineLevel="0" collapsed="false">
      <c r="A569" s="37"/>
      <c r="E569" s="83"/>
      <c r="J569" s="84"/>
      <c r="N569" s="84"/>
      <c r="R569" s="84"/>
      <c r="V569" s="84"/>
      <c r="Z569" s="84"/>
      <c r="AD569" s="84"/>
      <c r="AH569" s="84"/>
      <c r="AL569" s="84"/>
      <c r="AP569" s="84"/>
      <c r="AT569" s="84"/>
      <c r="AX569" s="84"/>
      <c r="BB569" s="85"/>
      <c r="BC569" s="84"/>
      <c r="BD569" s="84"/>
      <c r="BF569" s="84"/>
      <c r="BL569" s="84"/>
      <c r="BP569" s="86"/>
      <c r="BV569" s="84"/>
      <c r="CA569" s="84"/>
      <c r="CF569" s="84"/>
      <c r="CK569" s="84"/>
      <c r="CP569" s="84"/>
      <c r="CS569" s="86"/>
      <c r="CT569" s="84"/>
      <c r="CW569" s="86"/>
      <c r="CX569" s="84"/>
      <c r="DA569" s="86"/>
      <c r="DB569" s="84"/>
      <c r="DE569" s="86"/>
      <c r="DF569" s="84"/>
      <c r="DI569" s="86"/>
      <c r="DJ569" s="84"/>
      <c r="DM569" s="86"/>
      <c r="DN569" s="84"/>
      <c r="DQ569" s="86"/>
      <c r="DR569" s="85"/>
      <c r="DS569" s="85"/>
      <c r="DT569" s="84"/>
      <c r="DV569" s="84"/>
      <c r="DW569" s="157"/>
      <c r="EB569" s="84"/>
      <c r="EG569" s="84"/>
      <c r="EK569" s="84"/>
      <c r="EO569" s="84"/>
      <c r="ES569" s="84"/>
      <c r="EW569" s="84"/>
    </row>
    <row r="570" customFormat="false" ht="12.75" hidden="false" customHeight="false" outlineLevel="0" collapsed="false">
      <c r="A570" s="37"/>
      <c r="E570" s="83"/>
      <c r="J570" s="84"/>
      <c r="N570" s="84"/>
      <c r="R570" s="84"/>
      <c r="V570" s="84"/>
      <c r="Z570" s="84"/>
      <c r="AD570" s="84"/>
      <c r="AH570" s="84"/>
      <c r="AL570" s="84"/>
      <c r="AP570" s="84"/>
      <c r="AT570" s="84"/>
      <c r="AX570" s="84"/>
      <c r="BB570" s="85"/>
      <c r="BC570" s="84"/>
      <c r="BD570" s="84"/>
      <c r="BF570" s="84"/>
      <c r="BL570" s="84"/>
      <c r="BP570" s="86"/>
      <c r="BV570" s="84"/>
      <c r="CA570" s="84"/>
      <c r="CF570" s="84"/>
      <c r="CK570" s="84"/>
      <c r="CP570" s="84"/>
      <c r="CS570" s="86"/>
      <c r="CT570" s="84"/>
      <c r="CW570" s="86"/>
      <c r="CX570" s="84"/>
      <c r="DA570" s="86"/>
      <c r="DB570" s="84"/>
      <c r="DE570" s="86"/>
      <c r="DF570" s="84"/>
      <c r="DI570" s="86"/>
      <c r="DJ570" s="84"/>
      <c r="DM570" s="86"/>
      <c r="DN570" s="84"/>
      <c r="DQ570" s="86"/>
      <c r="DR570" s="85"/>
      <c r="DS570" s="85"/>
      <c r="DT570" s="84"/>
      <c r="DV570" s="84"/>
      <c r="DW570" s="157"/>
      <c r="EB570" s="84"/>
      <c r="EG570" s="84"/>
      <c r="EK570" s="84"/>
      <c r="EO570" s="84"/>
      <c r="ES570" s="84"/>
      <c r="EW570" s="84"/>
    </row>
    <row r="571" customFormat="false" ht="12.75" hidden="false" customHeight="false" outlineLevel="0" collapsed="false">
      <c r="A571" s="37"/>
      <c r="E571" s="83"/>
      <c r="J571" s="84"/>
      <c r="N571" s="84"/>
      <c r="R571" s="84"/>
      <c r="V571" s="84"/>
      <c r="Z571" s="84"/>
      <c r="AD571" s="84"/>
      <c r="AH571" s="84"/>
      <c r="AL571" s="84"/>
      <c r="AP571" s="84"/>
      <c r="AT571" s="84"/>
      <c r="AX571" s="84"/>
      <c r="BB571" s="85"/>
      <c r="BC571" s="84"/>
      <c r="BD571" s="84"/>
      <c r="BF571" s="84"/>
      <c r="BL571" s="84"/>
      <c r="BP571" s="86"/>
      <c r="BV571" s="84"/>
      <c r="CA571" s="84"/>
      <c r="CF571" s="84"/>
      <c r="CK571" s="84"/>
      <c r="CP571" s="84"/>
      <c r="CS571" s="86"/>
      <c r="CT571" s="84"/>
      <c r="CW571" s="86"/>
      <c r="CX571" s="84"/>
      <c r="DA571" s="86"/>
      <c r="DB571" s="84"/>
      <c r="DE571" s="86"/>
      <c r="DF571" s="84"/>
      <c r="DI571" s="86"/>
      <c r="DJ571" s="84"/>
      <c r="DM571" s="86"/>
      <c r="DN571" s="84"/>
      <c r="DQ571" s="86"/>
      <c r="DR571" s="85"/>
      <c r="DS571" s="85"/>
      <c r="DT571" s="84"/>
      <c r="DV571" s="84"/>
      <c r="DW571" s="157"/>
      <c r="EB571" s="84"/>
      <c r="EG571" s="84"/>
      <c r="EK571" s="84"/>
      <c r="EO571" s="84"/>
      <c r="ES571" s="84"/>
      <c r="EW571" s="84"/>
    </row>
    <row r="572" customFormat="false" ht="12.75" hidden="false" customHeight="false" outlineLevel="0" collapsed="false">
      <c r="A572" s="37"/>
      <c r="E572" s="83"/>
      <c r="J572" s="84"/>
      <c r="N572" s="84"/>
      <c r="R572" s="84"/>
      <c r="V572" s="84"/>
      <c r="Z572" s="84"/>
      <c r="AD572" s="84"/>
      <c r="AH572" s="84"/>
      <c r="AL572" s="84"/>
      <c r="AP572" s="84"/>
      <c r="AT572" s="84"/>
      <c r="AX572" s="84"/>
      <c r="BB572" s="85"/>
      <c r="BC572" s="84"/>
      <c r="BD572" s="84"/>
      <c r="BF572" s="84"/>
      <c r="BL572" s="84"/>
      <c r="BP572" s="86"/>
      <c r="BV572" s="84"/>
      <c r="CA572" s="84"/>
      <c r="CF572" s="84"/>
      <c r="CK572" s="84"/>
      <c r="CP572" s="84"/>
      <c r="CS572" s="86"/>
      <c r="CT572" s="84"/>
      <c r="CW572" s="86"/>
      <c r="CX572" s="84"/>
      <c r="DA572" s="86"/>
      <c r="DB572" s="84"/>
      <c r="DE572" s="86"/>
      <c r="DF572" s="84"/>
      <c r="DI572" s="86"/>
      <c r="DJ572" s="84"/>
      <c r="DM572" s="86"/>
      <c r="DN572" s="84"/>
      <c r="DQ572" s="86"/>
      <c r="DR572" s="85"/>
      <c r="DS572" s="85"/>
      <c r="DT572" s="84"/>
      <c r="DV572" s="84"/>
      <c r="DW572" s="157"/>
      <c r="EB572" s="84"/>
      <c r="EG572" s="84"/>
      <c r="EK572" s="84"/>
      <c r="EO572" s="84"/>
      <c r="ES572" s="84"/>
      <c r="EW572" s="84"/>
    </row>
    <row r="573" customFormat="false" ht="12.75" hidden="false" customHeight="false" outlineLevel="0" collapsed="false">
      <c r="A573" s="37"/>
      <c r="E573" s="83"/>
      <c r="J573" s="84"/>
      <c r="N573" s="84"/>
      <c r="R573" s="84"/>
      <c r="V573" s="84"/>
      <c r="Z573" s="84"/>
      <c r="AD573" s="84"/>
      <c r="AH573" s="84"/>
      <c r="AL573" s="84"/>
      <c r="AP573" s="84"/>
      <c r="AT573" s="84"/>
      <c r="AX573" s="84"/>
      <c r="BB573" s="85"/>
      <c r="BC573" s="84"/>
      <c r="BD573" s="84"/>
      <c r="BF573" s="84"/>
      <c r="BL573" s="84"/>
      <c r="BP573" s="86"/>
      <c r="BV573" s="84"/>
      <c r="CA573" s="84"/>
      <c r="CF573" s="84"/>
      <c r="CK573" s="84"/>
      <c r="CP573" s="84"/>
      <c r="CS573" s="86"/>
      <c r="CT573" s="84"/>
      <c r="CW573" s="86"/>
      <c r="CX573" s="84"/>
      <c r="DA573" s="86"/>
      <c r="DB573" s="84"/>
      <c r="DE573" s="86"/>
      <c r="DF573" s="84"/>
      <c r="DI573" s="86"/>
      <c r="DJ573" s="84"/>
      <c r="DM573" s="86"/>
      <c r="DN573" s="84"/>
      <c r="DQ573" s="86"/>
      <c r="DR573" s="85"/>
      <c r="DS573" s="85"/>
      <c r="DT573" s="84"/>
      <c r="DV573" s="84"/>
      <c r="DW573" s="157"/>
      <c r="EB573" s="84"/>
      <c r="EG573" s="84"/>
      <c r="EK573" s="84"/>
      <c r="EO573" s="84"/>
      <c r="ES573" s="84"/>
      <c r="EW573" s="84"/>
    </row>
    <row r="574" customFormat="false" ht="12.75" hidden="false" customHeight="false" outlineLevel="0" collapsed="false">
      <c r="A574" s="37"/>
      <c r="E574" s="83"/>
      <c r="J574" s="84"/>
      <c r="N574" s="84"/>
      <c r="R574" s="84"/>
      <c r="V574" s="84"/>
      <c r="Z574" s="84"/>
      <c r="AD574" s="84"/>
      <c r="AH574" s="84"/>
      <c r="AL574" s="84"/>
      <c r="AP574" s="84"/>
      <c r="AT574" s="84"/>
      <c r="AX574" s="84"/>
      <c r="BB574" s="85"/>
      <c r="BC574" s="84"/>
      <c r="BD574" s="84"/>
      <c r="BF574" s="84"/>
      <c r="BL574" s="84"/>
      <c r="BP574" s="86"/>
      <c r="BV574" s="84"/>
      <c r="CA574" s="84"/>
      <c r="CF574" s="84"/>
      <c r="CK574" s="84"/>
      <c r="CP574" s="84"/>
      <c r="CS574" s="86"/>
      <c r="CT574" s="84"/>
      <c r="CW574" s="86"/>
      <c r="CX574" s="84"/>
      <c r="DA574" s="86"/>
      <c r="DB574" s="84"/>
      <c r="DE574" s="86"/>
      <c r="DF574" s="84"/>
      <c r="DI574" s="86"/>
      <c r="DJ574" s="84"/>
      <c r="DM574" s="86"/>
      <c r="DN574" s="84"/>
      <c r="DQ574" s="86"/>
      <c r="DR574" s="85"/>
      <c r="DS574" s="85"/>
      <c r="DT574" s="84"/>
      <c r="DV574" s="84"/>
      <c r="DW574" s="157"/>
      <c r="EB574" s="84"/>
      <c r="EG574" s="84"/>
      <c r="EK574" s="84"/>
      <c r="EO574" s="84"/>
      <c r="ES574" s="84"/>
      <c r="EW574" s="84"/>
    </row>
    <row r="575" customFormat="false" ht="12.75" hidden="false" customHeight="false" outlineLevel="0" collapsed="false">
      <c r="A575" s="37"/>
      <c r="E575" s="83"/>
      <c r="J575" s="84"/>
      <c r="N575" s="84"/>
      <c r="R575" s="84"/>
      <c r="V575" s="84"/>
      <c r="Z575" s="84"/>
      <c r="AD575" s="84"/>
      <c r="AH575" s="84"/>
      <c r="AL575" s="84"/>
      <c r="AP575" s="84"/>
      <c r="AT575" s="84"/>
      <c r="AX575" s="84"/>
      <c r="BB575" s="85"/>
      <c r="BC575" s="84"/>
      <c r="BD575" s="84"/>
      <c r="BF575" s="84"/>
      <c r="BL575" s="84"/>
      <c r="BP575" s="86"/>
      <c r="BV575" s="84"/>
      <c r="CA575" s="84"/>
      <c r="CF575" s="84"/>
      <c r="CK575" s="84"/>
      <c r="CP575" s="84"/>
      <c r="CS575" s="86"/>
      <c r="CT575" s="84"/>
      <c r="CW575" s="86"/>
      <c r="CX575" s="84"/>
      <c r="DA575" s="86"/>
      <c r="DB575" s="84"/>
      <c r="DE575" s="86"/>
      <c r="DF575" s="84"/>
      <c r="DI575" s="86"/>
      <c r="DJ575" s="84"/>
      <c r="DM575" s="86"/>
      <c r="DN575" s="84"/>
      <c r="DQ575" s="86"/>
      <c r="DR575" s="85"/>
      <c r="DS575" s="85"/>
      <c r="DT575" s="84"/>
      <c r="DV575" s="84"/>
      <c r="DW575" s="157"/>
      <c r="EB575" s="84"/>
      <c r="EG575" s="84"/>
      <c r="EK575" s="84"/>
      <c r="EO575" s="84"/>
      <c r="ES575" s="84"/>
      <c r="EW575" s="84"/>
    </row>
    <row r="576" customFormat="false" ht="12.75" hidden="false" customHeight="false" outlineLevel="0" collapsed="false">
      <c r="A576" s="37"/>
      <c r="E576" s="83"/>
      <c r="J576" s="84"/>
      <c r="N576" s="84"/>
      <c r="R576" s="84"/>
      <c r="V576" s="84"/>
      <c r="Z576" s="84"/>
      <c r="AD576" s="84"/>
      <c r="AH576" s="84"/>
      <c r="AL576" s="84"/>
      <c r="AP576" s="84"/>
      <c r="AT576" s="84"/>
      <c r="AX576" s="84"/>
      <c r="BB576" s="85"/>
      <c r="BC576" s="84"/>
      <c r="BD576" s="84"/>
      <c r="BF576" s="84"/>
      <c r="BL576" s="84"/>
      <c r="BP576" s="86"/>
      <c r="BV576" s="84"/>
      <c r="CA576" s="84"/>
      <c r="CF576" s="84"/>
      <c r="CK576" s="84"/>
      <c r="CP576" s="84"/>
      <c r="CS576" s="86"/>
      <c r="CT576" s="84"/>
      <c r="CW576" s="86"/>
      <c r="CX576" s="84"/>
      <c r="DA576" s="86"/>
      <c r="DB576" s="84"/>
      <c r="DE576" s="86"/>
      <c r="DF576" s="84"/>
      <c r="DI576" s="86"/>
      <c r="DJ576" s="84"/>
      <c r="DM576" s="86"/>
      <c r="DN576" s="84"/>
      <c r="DQ576" s="86"/>
      <c r="DR576" s="85"/>
      <c r="DS576" s="85"/>
      <c r="DT576" s="84"/>
      <c r="DV576" s="84"/>
      <c r="DW576" s="157"/>
      <c r="EB576" s="84"/>
      <c r="EG576" s="84"/>
      <c r="EK576" s="84"/>
      <c r="EO576" s="84"/>
      <c r="ES576" s="84"/>
      <c r="EW576" s="84"/>
    </row>
    <row r="577" customFormat="false" ht="12.75" hidden="false" customHeight="false" outlineLevel="0" collapsed="false">
      <c r="A577" s="37"/>
      <c r="E577" s="83"/>
      <c r="J577" s="84"/>
      <c r="N577" s="84"/>
      <c r="R577" s="84"/>
      <c r="V577" s="84"/>
      <c r="Z577" s="84"/>
      <c r="AD577" s="84"/>
      <c r="AH577" s="84"/>
      <c r="AL577" s="84"/>
      <c r="AP577" s="84"/>
      <c r="AT577" s="84"/>
      <c r="AX577" s="84"/>
      <c r="BB577" s="85"/>
      <c r="BC577" s="84"/>
      <c r="BD577" s="84"/>
      <c r="BF577" s="84"/>
      <c r="BL577" s="84"/>
      <c r="BP577" s="86"/>
      <c r="BV577" s="84"/>
      <c r="CA577" s="84"/>
      <c r="CF577" s="84"/>
      <c r="CK577" s="84"/>
      <c r="CP577" s="84"/>
      <c r="CS577" s="86"/>
      <c r="CT577" s="84"/>
      <c r="CW577" s="86"/>
      <c r="CX577" s="84"/>
      <c r="DA577" s="86"/>
      <c r="DB577" s="84"/>
      <c r="DE577" s="86"/>
      <c r="DF577" s="84"/>
      <c r="DI577" s="86"/>
      <c r="DJ577" s="84"/>
      <c r="DM577" s="86"/>
      <c r="DN577" s="84"/>
      <c r="DQ577" s="86"/>
      <c r="DR577" s="85"/>
      <c r="DS577" s="85"/>
      <c r="DT577" s="84"/>
      <c r="DV577" s="84"/>
      <c r="DW577" s="157"/>
      <c r="EB577" s="84"/>
      <c r="EG577" s="84"/>
      <c r="EK577" s="84"/>
      <c r="EO577" s="84"/>
      <c r="ES577" s="84"/>
      <c r="EW577" s="84"/>
    </row>
    <row r="578" customFormat="false" ht="12.75" hidden="false" customHeight="false" outlineLevel="0" collapsed="false">
      <c r="A578" s="37"/>
      <c r="E578" s="83"/>
      <c r="J578" s="84"/>
      <c r="N578" s="84"/>
      <c r="R578" s="84"/>
      <c r="V578" s="84"/>
      <c r="Z578" s="84"/>
      <c r="AD578" s="84"/>
      <c r="AH578" s="84"/>
      <c r="AL578" s="84"/>
      <c r="AP578" s="84"/>
      <c r="AT578" s="84"/>
      <c r="AX578" s="84"/>
      <c r="BB578" s="85"/>
      <c r="BC578" s="84"/>
      <c r="BD578" s="84"/>
      <c r="BF578" s="84"/>
      <c r="BL578" s="84"/>
      <c r="BP578" s="86"/>
      <c r="BV578" s="84"/>
      <c r="CA578" s="84"/>
      <c r="CF578" s="84"/>
      <c r="CK578" s="84"/>
      <c r="CP578" s="84"/>
      <c r="CS578" s="86"/>
      <c r="CT578" s="84"/>
      <c r="CW578" s="86"/>
      <c r="CX578" s="84"/>
      <c r="DA578" s="86"/>
      <c r="DB578" s="84"/>
      <c r="DE578" s="86"/>
      <c r="DF578" s="84"/>
      <c r="DI578" s="86"/>
      <c r="DJ578" s="84"/>
      <c r="DM578" s="86"/>
      <c r="DN578" s="84"/>
      <c r="DQ578" s="86"/>
      <c r="DR578" s="85"/>
      <c r="DS578" s="85"/>
      <c r="DT578" s="84"/>
      <c r="DV578" s="84"/>
      <c r="DW578" s="157"/>
      <c r="EB578" s="84"/>
      <c r="EG578" s="84"/>
      <c r="EK578" s="84"/>
      <c r="EO578" s="84"/>
      <c r="ES578" s="84"/>
      <c r="EW578" s="84"/>
    </row>
    <row r="579" customFormat="false" ht="12.75" hidden="false" customHeight="false" outlineLevel="0" collapsed="false">
      <c r="A579" s="37"/>
      <c r="E579" s="83"/>
      <c r="J579" s="84"/>
      <c r="N579" s="84"/>
      <c r="R579" s="84"/>
      <c r="V579" s="84"/>
      <c r="Z579" s="84"/>
      <c r="AD579" s="84"/>
      <c r="AH579" s="84"/>
      <c r="AL579" s="84"/>
      <c r="AP579" s="84"/>
      <c r="AT579" s="84"/>
      <c r="AX579" s="84"/>
      <c r="BB579" s="85"/>
      <c r="BC579" s="84"/>
      <c r="BD579" s="84"/>
      <c r="BF579" s="84"/>
      <c r="BL579" s="84"/>
      <c r="BP579" s="86"/>
      <c r="BV579" s="84"/>
      <c r="CA579" s="84"/>
      <c r="CF579" s="84"/>
      <c r="CK579" s="84"/>
      <c r="CP579" s="84"/>
      <c r="CS579" s="86"/>
      <c r="CT579" s="84"/>
      <c r="CW579" s="86"/>
      <c r="CX579" s="84"/>
      <c r="DA579" s="86"/>
      <c r="DB579" s="84"/>
      <c r="DE579" s="86"/>
      <c r="DF579" s="84"/>
      <c r="DI579" s="86"/>
      <c r="DJ579" s="84"/>
      <c r="DM579" s="86"/>
      <c r="DN579" s="84"/>
      <c r="DQ579" s="86"/>
      <c r="DR579" s="85"/>
      <c r="DS579" s="85"/>
      <c r="DT579" s="84"/>
      <c r="DV579" s="84"/>
      <c r="DW579" s="157"/>
      <c r="EB579" s="84"/>
      <c r="EG579" s="84"/>
      <c r="EK579" s="84"/>
      <c r="EO579" s="84"/>
      <c r="ES579" s="84"/>
      <c r="EW579" s="84"/>
    </row>
    <row r="580" customFormat="false" ht="12.75" hidden="false" customHeight="false" outlineLevel="0" collapsed="false">
      <c r="A580" s="37"/>
      <c r="E580" s="83"/>
      <c r="J580" s="84"/>
      <c r="N580" s="84"/>
      <c r="R580" s="84"/>
      <c r="V580" s="84"/>
      <c r="Z580" s="84"/>
      <c r="AD580" s="84"/>
      <c r="AH580" s="84"/>
      <c r="AL580" s="84"/>
      <c r="AP580" s="84"/>
      <c r="AT580" s="84"/>
      <c r="AX580" s="84"/>
      <c r="BB580" s="85"/>
      <c r="BC580" s="84"/>
      <c r="BD580" s="84"/>
      <c r="BF580" s="84"/>
      <c r="BL580" s="84"/>
      <c r="BP580" s="86"/>
      <c r="BV580" s="84"/>
      <c r="CA580" s="84"/>
      <c r="CF580" s="84"/>
      <c r="CK580" s="84"/>
      <c r="CP580" s="84"/>
      <c r="CS580" s="86"/>
      <c r="CT580" s="84"/>
      <c r="CW580" s="86"/>
      <c r="CX580" s="84"/>
      <c r="DA580" s="86"/>
      <c r="DB580" s="84"/>
      <c r="DE580" s="86"/>
      <c r="DF580" s="84"/>
      <c r="DI580" s="86"/>
      <c r="DJ580" s="84"/>
      <c r="DM580" s="86"/>
      <c r="DN580" s="84"/>
      <c r="DQ580" s="86"/>
      <c r="DR580" s="85"/>
      <c r="DS580" s="85"/>
      <c r="DT580" s="84"/>
      <c r="DV580" s="84"/>
      <c r="DW580" s="157"/>
      <c r="EB580" s="84"/>
      <c r="EG580" s="84"/>
      <c r="EK580" s="84"/>
      <c r="EO580" s="84"/>
      <c r="ES580" s="84"/>
      <c r="EW580" s="84"/>
    </row>
    <row r="581" customFormat="false" ht="12.75" hidden="false" customHeight="false" outlineLevel="0" collapsed="false">
      <c r="A581" s="37"/>
      <c r="E581" s="83"/>
      <c r="J581" s="84"/>
      <c r="N581" s="84"/>
      <c r="R581" s="84"/>
      <c r="V581" s="84"/>
      <c r="Z581" s="84"/>
      <c r="AD581" s="84"/>
      <c r="AH581" s="84"/>
      <c r="AL581" s="84"/>
      <c r="AP581" s="84"/>
      <c r="AT581" s="84"/>
      <c r="AX581" s="84"/>
      <c r="BB581" s="85"/>
      <c r="BC581" s="84"/>
      <c r="BD581" s="84"/>
      <c r="BF581" s="84"/>
      <c r="BL581" s="84"/>
      <c r="BP581" s="86"/>
      <c r="BV581" s="84"/>
      <c r="CA581" s="84"/>
      <c r="CF581" s="84"/>
      <c r="CK581" s="84"/>
      <c r="CP581" s="84"/>
      <c r="CS581" s="86"/>
      <c r="CT581" s="84"/>
      <c r="CW581" s="86"/>
      <c r="CX581" s="84"/>
      <c r="DA581" s="86"/>
      <c r="DB581" s="84"/>
      <c r="DE581" s="86"/>
      <c r="DF581" s="84"/>
      <c r="DI581" s="86"/>
      <c r="DJ581" s="84"/>
      <c r="DM581" s="86"/>
      <c r="DN581" s="84"/>
      <c r="DQ581" s="86"/>
      <c r="DR581" s="85"/>
      <c r="DS581" s="85"/>
      <c r="DT581" s="84"/>
      <c r="DV581" s="84"/>
      <c r="DW581" s="157"/>
      <c r="EB581" s="84"/>
      <c r="EG581" s="84"/>
      <c r="EK581" s="84"/>
      <c r="EO581" s="84"/>
      <c r="ES581" s="84"/>
      <c r="EW581" s="84"/>
    </row>
    <row r="582" customFormat="false" ht="12.75" hidden="false" customHeight="false" outlineLevel="0" collapsed="false">
      <c r="A582" s="37"/>
      <c r="E582" s="83"/>
      <c r="J582" s="84"/>
      <c r="N582" s="84"/>
      <c r="R582" s="84"/>
      <c r="V582" s="84"/>
      <c r="Z582" s="84"/>
      <c r="AD582" s="84"/>
      <c r="AH582" s="84"/>
      <c r="AL582" s="84"/>
      <c r="AP582" s="84"/>
      <c r="AT582" s="84"/>
      <c r="AX582" s="84"/>
      <c r="BB582" s="85"/>
      <c r="BC582" s="84"/>
      <c r="BD582" s="84"/>
      <c r="BF582" s="84"/>
      <c r="BL582" s="84"/>
      <c r="BP582" s="86"/>
      <c r="BV582" s="84"/>
      <c r="CA582" s="84"/>
      <c r="CF582" s="84"/>
      <c r="CK582" s="84"/>
      <c r="CP582" s="84"/>
      <c r="CS582" s="86"/>
      <c r="CT582" s="84"/>
      <c r="CW582" s="86"/>
      <c r="CX582" s="84"/>
      <c r="DA582" s="86"/>
      <c r="DB582" s="84"/>
      <c r="DE582" s="86"/>
      <c r="DF582" s="84"/>
      <c r="DI582" s="86"/>
      <c r="DJ582" s="84"/>
      <c r="DM582" s="86"/>
      <c r="DN582" s="84"/>
      <c r="DQ582" s="86"/>
      <c r="DR582" s="85"/>
      <c r="DS582" s="85"/>
      <c r="DT582" s="84"/>
      <c r="DV582" s="84"/>
      <c r="DW582" s="157"/>
      <c r="EB582" s="84"/>
      <c r="EG582" s="84"/>
      <c r="EK582" s="84"/>
      <c r="EO582" s="84"/>
      <c r="ES582" s="84"/>
      <c r="EW582" s="84"/>
    </row>
    <row r="583" customFormat="false" ht="12.75" hidden="false" customHeight="false" outlineLevel="0" collapsed="false">
      <c r="A583" s="37"/>
      <c r="E583" s="83"/>
      <c r="J583" s="84"/>
      <c r="N583" s="84"/>
      <c r="R583" s="84"/>
      <c r="V583" s="84"/>
      <c r="Z583" s="84"/>
      <c r="AD583" s="84"/>
      <c r="AH583" s="84"/>
      <c r="AL583" s="84"/>
      <c r="AP583" s="84"/>
      <c r="AT583" s="84"/>
      <c r="AX583" s="84"/>
      <c r="BB583" s="85"/>
      <c r="BC583" s="84"/>
      <c r="BD583" s="84"/>
      <c r="BF583" s="84"/>
      <c r="BL583" s="84"/>
      <c r="BP583" s="86"/>
      <c r="BV583" s="84"/>
      <c r="CA583" s="84"/>
      <c r="CF583" s="84"/>
      <c r="CK583" s="84"/>
      <c r="CP583" s="84"/>
      <c r="CS583" s="86"/>
      <c r="CT583" s="84"/>
      <c r="CW583" s="86"/>
      <c r="CX583" s="84"/>
      <c r="DA583" s="86"/>
      <c r="DB583" s="84"/>
      <c r="DE583" s="86"/>
      <c r="DF583" s="84"/>
      <c r="DI583" s="86"/>
      <c r="DJ583" s="84"/>
      <c r="DM583" s="86"/>
      <c r="DN583" s="84"/>
      <c r="DQ583" s="86"/>
      <c r="DR583" s="85"/>
      <c r="DS583" s="85"/>
      <c r="DT583" s="84"/>
      <c r="DV583" s="84"/>
      <c r="DW583" s="157"/>
      <c r="EB583" s="84"/>
      <c r="EG583" s="84"/>
      <c r="EK583" s="84"/>
      <c r="EO583" s="84"/>
      <c r="ES583" s="84"/>
      <c r="EW583" s="84"/>
    </row>
    <row r="584" customFormat="false" ht="12.75" hidden="false" customHeight="false" outlineLevel="0" collapsed="false">
      <c r="A584" s="37"/>
      <c r="E584" s="83"/>
      <c r="J584" s="84"/>
      <c r="N584" s="84"/>
      <c r="R584" s="84"/>
      <c r="V584" s="84"/>
      <c r="Z584" s="84"/>
      <c r="AD584" s="84"/>
      <c r="AH584" s="84"/>
      <c r="AL584" s="84"/>
      <c r="AP584" s="84"/>
      <c r="AT584" s="84"/>
      <c r="AX584" s="84"/>
      <c r="BB584" s="85"/>
      <c r="BC584" s="84"/>
      <c r="BD584" s="84"/>
      <c r="BF584" s="84"/>
      <c r="BL584" s="84"/>
      <c r="BP584" s="86"/>
      <c r="BV584" s="84"/>
      <c r="CA584" s="84"/>
      <c r="CF584" s="84"/>
      <c r="CK584" s="84"/>
      <c r="CP584" s="84"/>
      <c r="CS584" s="86"/>
      <c r="CT584" s="84"/>
      <c r="CW584" s="86"/>
      <c r="CX584" s="84"/>
      <c r="DA584" s="86"/>
      <c r="DB584" s="84"/>
      <c r="DE584" s="86"/>
      <c r="DF584" s="84"/>
      <c r="DI584" s="86"/>
      <c r="DJ584" s="84"/>
      <c r="DM584" s="86"/>
      <c r="DN584" s="84"/>
      <c r="DQ584" s="86"/>
      <c r="DR584" s="85"/>
      <c r="DS584" s="85"/>
      <c r="DT584" s="84"/>
      <c r="DV584" s="84"/>
      <c r="DW584" s="157"/>
      <c r="EB584" s="84"/>
      <c r="EG584" s="84"/>
      <c r="EK584" s="84"/>
      <c r="EO584" s="84"/>
      <c r="ES584" s="84"/>
      <c r="EW584" s="84"/>
    </row>
    <row r="585" customFormat="false" ht="12.75" hidden="false" customHeight="false" outlineLevel="0" collapsed="false">
      <c r="A585" s="37"/>
      <c r="E585" s="83"/>
      <c r="J585" s="84"/>
      <c r="N585" s="84"/>
      <c r="R585" s="84"/>
      <c r="V585" s="84"/>
      <c r="Z585" s="84"/>
      <c r="AD585" s="84"/>
      <c r="AH585" s="84"/>
      <c r="AL585" s="84"/>
      <c r="AP585" s="84"/>
      <c r="AT585" s="84"/>
      <c r="AX585" s="84"/>
      <c r="BB585" s="85"/>
      <c r="BC585" s="84"/>
      <c r="BD585" s="84"/>
      <c r="BF585" s="84"/>
      <c r="BL585" s="84"/>
      <c r="BP585" s="86"/>
      <c r="BV585" s="84"/>
      <c r="CA585" s="84"/>
      <c r="CF585" s="84"/>
      <c r="CK585" s="84"/>
      <c r="CP585" s="84"/>
      <c r="CS585" s="86"/>
      <c r="CT585" s="84"/>
      <c r="CW585" s="86"/>
      <c r="CX585" s="84"/>
      <c r="DA585" s="86"/>
      <c r="DB585" s="84"/>
      <c r="DE585" s="86"/>
      <c r="DF585" s="84"/>
      <c r="DI585" s="86"/>
      <c r="DJ585" s="84"/>
      <c r="DM585" s="86"/>
      <c r="DN585" s="84"/>
      <c r="DQ585" s="86"/>
      <c r="DR585" s="85"/>
      <c r="DS585" s="85"/>
      <c r="DT585" s="84"/>
      <c r="DV585" s="84"/>
      <c r="DW585" s="157"/>
      <c r="EB585" s="84"/>
      <c r="EG585" s="84"/>
      <c r="EK585" s="84"/>
      <c r="EO585" s="84"/>
      <c r="ES585" s="84"/>
      <c r="EW585" s="84"/>
    </row>
    <row r="586" customFormat="false" ht="12.75" hidden="false" customHeight="false" outlineLevel="0" collapsed="false">
      <c r="A586" s="37"/>
      <c r="E586" s="83"/>
      <c r="J586" s="84"/>
      <c r="N586" s="84"/>
      <c r="R586" s="84"/>
      <c r="V586" s="84"/>
      <c r="Z586" s="84"/>
      <c r="AD586" s="84"/>
      <c r="AH586" s="84"/>
      <c r="AL586" s="84"/>
      <c r="AP586" s="84"/>
      <c r="AT586" s="84"/>
      <c r="AX586" s="84"/>
      <c r="BB586" s="85"/>
      <c r="BC586" s="84"/>
      <c r="BD586" s="84"/>
      <c r="BF586" s="84"/>
      <c r="BL586" s="84"/>
      <c r="BP586" s="86"/>
      <c r="BV586" s="84"/>
      <c r="CA586" s="84"/>
      <c r="CF586" s="84"/>
      <c r="CK586" s="84"/>
      <c r="CP586" s="84"/>
      <c r="CS586" s="86"/>
      <c r="CT586" s="84"/>
      <c r="CW586" s="86"/>
      <c r="CX586" s="84"/>
      <c r="DA586" s="86"/>
      <c r="DB586" s="84"/>
      <c r="DE586" s="86"/>
      <c r="DF586" s="84"/>
      <c r="DI586" s="86"/>
      <c r="DJ586" s="84"/>
      <c r="DM586" s="86"/>
      <c r="DN586" s="84"/>
      <c r="DQ586" s="86"/>
      <c r="DR586" s="85"/>
      <c r="DS586" s="85"/>
      <c r="DT586" s="84"/>
      <c r="DV586" s="84"/>
      <c r="DW586" s="157"/>
      <c r="EB586" s="84"/>
      <c r="EG586" s="84"/>
      <c r="EK586" s="84"/>
      <c r="EO586" s="84"/>
      <c r="ES586" s="84"/>
      <c r="EW586" s="84"/>
    </row>
    <row r="587" customFormat="false" ht="12.75" hidden="false" customHeight="false" outlineLevel="0" collapsed="false">
      <c r="A587" s="37"/>
      <c r="E587" s="83"/>
      <c r="J587" s="84"/>
      <c r="N587" s="84"/>
      <c r="R587" s="84"/>
      <c r="V587" s="84"/>
      <c r="Z587" s="84"/>
      <c r="AD587" s="84"/>
      <c r="AH587" s="84"/>
      <c r="AL587" s="84"/>
      <c r="AP587" s="84"/>
      <c r="AT587" s="84"/>
      <c r="AX587" s="84"/>
      <c r="BB587" s="85"/>
      <c r="BC587" s="84"/>
      <c r="BD587" s="84"/>
      <c r="BF587" s="84"/>
      <c r="BL587" s="84"/>
      <c r="BP587" s="86"/>
      <c r="BV587" s="84"/>
      <c r="CA587" s="84"/>
      <c r="CF587" s="84"/>
      <c r="CK587" s="84"/>
      <c r="CP587" s="84"/>
      <c r="CS587" s="86"/>
      <c r="CT587" s="84"/>
      <c r="CW587" s="86"/>
      <c r="CX587" s="84"/>
      <c r="DA587" s="86"/>
      <c r="DB587" s="84"/>
      <c r="DE587" s="86"/>
      <c r="DF587" s="84"/>
      <c r="DI587" s="86"/>
      <c r="DJ587" s="84"/>
      <c r="DM587" s="86"/>
      <c r="DN587" s="84"/>
      <c r="DQ587" s="86"/>
      <c r="DR587" s="85"/>
      <c r="DS587" s="85"/>
      <c r="DT587" s="84"/>
      <c r="DV587" s="84"/>
      <c r="DW587" s="157"/>
      <c r="EB587" s="84"/>
      <c r="EG587" s="84"/>
      <c r="EK587" s="84"/>
      <c r="EO587" s="84"/>
      <c r="ES587" s="84"/>
      <c r="EW587" s="84"/>
    </row>
    <row r="588" customFormat="false" ht="12.75" hidden="false" customHeight="false" outlineLevel="0" collapsed="false">
      <c r="A588" s="37"/>
      <c r="E588" s="83"/>
      <c r="J588" s="84"/>
      <c r="N588" s="84"/>
      <c r="R588" s="84"/>
      <c r="V588" s="84"/>
      <c r="Z588" s="84"/>
      <c r="AD588" s="84"/>
      <c r="AH588" s="84"/>
      <c r="AL588" s="84"/>
      <c r="AP588" s="84"/>
      <c r="AT588" s="84"/>
      <c r="AX588" s="84"/>
      <c r="BB588" s="85"/>
      <c r="BC588" s="84"/>
      <c r="BD588" s="84"/>
      <c r="BF588" s="84"/>
      <c r="BL588" s="84"/>
      <c r="BP588" s="86"/>
      <c r="BV588" s="84"/>
      <c r="CA588" s="84"/>
      <c r="CF588" s="84"/>
      <c r="CK588" s="84"/>
      <c r="CP588" s="84"/>
      <c r="CS588" s="86"/>
      <c r="CT588" s="84"/>
      <c r="CW588" s="86"/>
      <c r="CX588" s="84"/>
      <c r="DA588" s="86"/>
      <c r="DB588" s="84"/>
      <c r="DE588" s="86"/>
      <c r="DF588" s="84"/>
      <c r="DI588" s="86"/>
      <c r="DJ588" s="84"/>
      <c r="DM588" s="86"/>
      <c r="DN588" s="84"/>
      <c r="DQ588" s="86"/>
      <c r="DR588" s="85"/>
      <c r="DS588" s="85"/>
      <c r="DT588" s="84"/>
      <c r="DV588" s="84"/>
      <c r="DW588" s="157"/>
      <c r="EB588" s="84"/>
      <c r="EG588" s="84"/>
      <c r="EK588" s="84"/>
      <c r="EO588" s="84"/>
      <c r="ES588" s="84"/>
      <c r="EW588" s="84"/>
    </row>
    <row r="589" customFormat="false" ht="12.75" hidden="false" customHeight="false" outlineLevel="0" collapsed="false">
      <c r="A589" s="37"/>
      <c r="E589" s="83"/>
      <c r="J589" s="84"/>
      <c r="N589" s="84"/>
      <c r="R589" s="84"/>
      <c r="V589" s="84"/>
      <c r="Z589" s="84"/>
      <c r="AD589" s="84"/>
      <c r="AH589" s="84"/>
      <c r="AL589" s="84"/>
      <c r="AP589" s="84"/>
      <c r="AT589" s="84"/>
      <c r="AX589" s="84"/>
      <c r="BB589" s="85"/>
      <c r="BC589" s="84"/>
      <c r="BD589" s="84"/>
      <c r="BF589" s="84"/>
      <c r="BL589" s="84"/>
      <c r="BP589" s="86"/>
      <c r="BV589" s="84"/>
      <c r="CA589" s="84"/>
      <c r="CF589" s="84"/>
      <c r="CK589" s="84"/>
      <c r="CP589" s="84"/>
      <c r="CS589" s="86"/>
      <c r="CT589" s="84"/>
      <c r="CW589" s="86"/>
      <c r="CX589" s="84"/>
      <c r="DA589" s="86"/>
      <c r="DB589" s="84"/>
      <c r="DE589" s="86"/>
      <c r="DF589" s="84"/>
      <c r="DI589" s="86"/>
      <c r="DJ589" s="84"/>
      <c r="DM589" s="86"/>
      <c r="DN589" s="84"/>
      <c r="DQ589" s="86"/>
      <c r="DR589" s="85"/>
      <c r="DS589" s="85"/>
      <c r="DT589" s="84"/>
      <c r="DV589" s="84"/>
      <c r="DW589" s="157"/>
      <c r="EB589" s="84"/>
      <c r="EG589" s="84"/>
      <c r="EK589" s="84"/>
      <c r="EO589" s="84"/>
      <c r="ES589" s="84"/>
      <c r="EW589" s="84"/>
    </row>
    <row r="590" customFormat="false" ht="12.75" hidden="false" customHeight="false" outlineLevel="0" collapsed="false">
      <c r="A590" s="37"/>
      <c r="E590" s="83"/>
      <c r="J590" s="84"/>
      <c r="N590" s="84"/>
      <c r="R590" s="84"/>
      <c r="V590" s="84"/>
      <c r="Z590" s="84"/>
      <c r="AD590" s="84"/>
      <c r="AH590" s="84"/>
      <c r="AL590" s="84"/>
      <c r="AP590" s="84"/>
      <c r="AT590" s="84"/>
      <c r="AX590" s="84"/>
      <c r="BB590" s="85"/>
      <c r="BC590" s="84"/>
      <c r="BD590" s="84"/>
      <c r="BF590" s="84"/>
      <c r="BL590" s="84"/>
      <c r="BP590" s="86"/>
      <c r="BV590" s="84"/>
      <c r="CA590" s="84"/>
      <c r="CF590" s="84"/>
      <c r="CK590" s="84"/>
      <c r="CP590" s="84"/>
      <c r="CS590" s="86"/>
      <c r="CT590" s="84"/>
      <c r="CW590" s="86"/>
      <c r="CX590" s="84"/>
      <c r="DA590" s="86"/>
      <c r="DB590" s="84"/>
      <c r="DE590" s="86"/>
      <c r="DF590" s="84"/>
      <c r="DI590" s="86"/>
      <c r="DJ590" s="84"/>
      <c r="DM590" s="86"/>
      <c r="DN590" s="84"/>
      <c r="DQ590" s="86"/>
      <c r="DR590" s="85"/>
      <c r="DS590" s="85"/>
      <c r="DT590" s="84"/>
      <c r="DV590" s="84"/>
      <c r="DW590" s="157"/>
      <c r="EB590" s="84"/>
      <c r="EG590" s="84"/>
      <c r="EK590" s="84"/>
      <c r="EO590" s="84"/>
      <c r="ES590" s="84"/>
      <c r="EW590" s="84"/>
    </row>
    <row r="591" customFormat="false" ht="12.75" hidden="false" customHeight="false" outlineLevel="0" collapsed="false">
      <c r="A591" s="37"/>
      <c r="E591" s="83"/>
      <c r="J591" s="84"/>
      <c r="N591" s="84"/>
      <c r="R591" s="84"/>
      <c r="V591" s="84"/>
      <c r="Z591" s="84"/>
      <c r="AD591" s="84"/>
      <c r="AH591" s="84"/>
      <c r="AL591" s="84"/>
      <c r="AP591" s="84"/>
      <c r="AT591" s="84"/>
      <c r="AX591" s="84"/>
      <c r="BB591" s="85"/>
      <c r="BC591" s="84"/>
      <c r="BD591" s="84"/>
      <c r="BF591" s="84"/>
      <c r="BL591" s="84"/>
      <c r="BP591" s="86"/>
      <c r="BV591" s="84"/>
      <c r="CA591" s="84"/>
      <c r="CF591" s="84"/>
      <c r="CK591" s="84"/>
      <c r="CP591" s="84"/>
      <c r="CS591" s="86"/>
      <c r="CT591" s="84"/>
      <c r="CW591" s="86"/>
      <c r="CX591" s="84"/>
      <c r="DA591" s="86"/>
      <c r="DB591" s="84"/>
      <c r="DE591" s="86"/>
      <c r="DF591" s="84"/>
      <c r="DI591" s="86"/>
      <c r="DJ591" s="84"/>
      <c r="DM591" s="86"/>
      <c r="DN591" s="84"/>
      <c r="DQ591" s="86"/>
      <c r="DR591" s="85"/>
      <c r="DS591" s="85"/>
      <c r="DT591" s="84"/>
      <c r="DV591" s="84"/>
      <c r="DW591" s="157"/>
      <c r="EB591" s="84"/>
      <c r="EG591" s="84"/>
      <c r="EK591" s="84"/>
      <c r="EO591" s="84"/>
      <c r="ES591" s="84"/>
      <c r="EW591" s="84"/>
    </row>
    <row r="592" customFormat="false" ht="12.75" hidden="false" customHeight="false" outlineLevel="0" collapsed="false">
      <c r="A592" s="37"/>
      <c r="E592" s="83"/>
      <c r="J592" s="84"/>
      <c r="N592" s="84"/>
      <c r="R592" s="84"/>
      <c r="V592" s="84"/>
      <c r="Z592" s="84"/>
      <c r="AD592" s="84"/>
      <c r="AH592" s="84"/>
      <c r="AL592" s="84"/>
      <c r="AP592" s="84"/>
      <c r="AT592" s="84"/>
      <c r="AX592" s="84"/>
      <c r="BB592" s="85"/>
      <c r="BC592" s="84"/>
      <c r="BD592" s="84"/>
      <c r="BF592" s="84"/>
      <c r="BL592" s="84"/>
      <c r="BP592" s="86"/>
      <c r="BV592" s="84"/>
      <c r="CA592" s="84"/>
      <c r="CF592" s="84"/>
      <c r="CK592" s="84"/>
      <c r="CP592" s="84"/>
      <c r="CS592" s="86"/>
      <c r="CT592" s="84"/>
      <c r="CW592" s="86"/>
      <c r="CX592" s="84"/>
      <c r="DA592" s="86"/>
      <c r="DB592" s="84"/>
      <c r="DE592" s="86"/>
      <c r="DF592" s="84"/>
      <c r="DI592" s="86"/>
      <c r="DJ592" s="84"/>
      <c r="DM592" s="86"/>
      <c r="DN592" s="84"/>
      <c r="DQ592" s="86"/>
      <c r="DR592" s="85"/>
      <c r="DS592" s="85"/>
      <c r="DT592" s="84"/>
      <c r="DV592" s="84"/>
      <c r="DW592" s="157"/>
      <c r="EB592" s="84"/>
      <c r="EG592" s="84"/>
      <c r="EK592" s="84"/>
      <c r="EO592" s="84"/>
      <c r="ES592" s="84"/>
      <c r="EW592" s="84"/>
    </row>
    <row r="593" customFormat="false" ht="12.75" hidden="false" customHeight="false" outlineLevel="0" collapsed="false">
      <c r="A593" s="37"/>
      <c r="E593" s="83"/>
      <c r="J593" s="84"/>
      <c r="N593" s="84"/>
      <c r="R593" s="84"/>
      <c r="V593" s="84"/>
      <c r="Z593" s="84"/>
      <c r="AD593" s="84"/>
      <c r="AH593" s="84"/>
      <c r="AL593" s="84"/>
      <c r="AP593" s="84"/>
      <c r="AT593" s="84"/>
      <c r="AX593" s="84"/>
      <c r="BB593" s="85"/>
      <c r="BC593" s="84"/>
      <c r="BD593" s="84"/>
      <c r="BF593" s="84"/>
      <c r="BL593" s="84"/>
      <c r="BP593" s="86"/>
      <c r="BV593" s="84"/>
      <c r="CA593" s="84"/>
      <c r="CF593" s="84"/>
      <c r="CK593" s="84"/>
      <c r="CP593" s="84"/>
      <c r="CS593" s="86"/>
      <c r="CT593" s="84"/>
      <c r="CW593" s="86"/>
      <c r="CX593" s="84"/>
      <c r="DA593" s="86"/>
      <c r="DB593" s="84"/>
      <c r="DE593" s="86"/>
      <c r="DF593" s="84"/>
      <c r="DI593" s="86"/>
      <c r="DJ593" s="84"/>
      <c r="DM593" s="86"/>
      <c r="DN593" s="84"/>
      <c r="DQ593" s="86"/>
      <c r="DR593" s="85"/>
      <c r="DS593" s="85"/>
      <c r="DT593" s="84"/>
      <c r="DV593" s="84"/>
      <c r="DW593" s="157"/>
      <c r="EB593" s="84"/>
      <c r="EG593" s="84"/>
      <c r="EK593" s="84"/>
      <c r="EO593" s="84"/>
      <c r="ES593" s="84"/>
      <c r="EW593" s="84"/>
    </row>
    <row r="594" customFormat="false" ht="12.75" hidden="false" customHeight="false" outlineLevel="0" collapsed="false">
      <c r="A594" s="37"/>
      <c r="E594" s="83"/>
      <c r="J594" s="84"/>
      <c r="N594" s="84"/>
      <c r="R594" s="84"/>
      <c r="V594" s="84"/>
      <c r="Z594" s="84"/>
      <c r="AD594" s="84"/>
      <c r="AH594" s="84"/>
      <c r="AL594" s="84"/>
      <c r="AP594" s="84"/>
      <c r="AT594" s="84"/>
      <c r="AX594" s="84"/>
      <c r="BB594" s="85"/>
      <c r="BC594" s="84"/>
      <c r="BD594" s="84"/>
      <c r="BF594" s="84"/>
      <c r="BL594" s="84"/>
      <c r="BP594" s="86"/>
      <c r="BV594" s="84"/>
      <c r="CA594" s="84"/>
      <c r="CF594" s="84"/>
      <c r="CK594" s="84"/>
      <c r="CP594" s="84"/>
      <c r="CS594" s="86"/>
      <c r="CT594" s="84"/>
      <c r="CW594" s="86"/>
      <c r="CX594" s="84"/>
      <c r="DA594" s="86"/>
      <c r="DB594" s="84"/>
      <c r="DE594" s="86"/>
      <c r="DF594" s="84"/>
      <c r="DI594" s="86"/>
      <c r="DJ594" s="84"/>
      <c r="DM594" s="86"/>
      <c r="DN594" s="84"/>
      <c r="DQ594" s="86"/>
      <c r="DR594" s="85"/>
      <c r="DS594" s="85"/>
      <c r="DT594" s="84"/>
      <c r="DV594" s="84"/>
      <c r="DW594" s="157"/>
      <c r="EB594" s="84"/>
      <c r="EG594" s="84"/>
      <c r="EK594" s="84"/>
      <c r="EO594" s="84"/>
      <c r="ES594" s="84"/>
      <c r="EW594" s="84"/>
    </row>
    <row r="595" customFormat="false" ht="12.75" hidden="false" customHeight="false" outlineLevel="0" collapsed="false">
      <c r="A595" s="37"/>
      <c r="E595" s="83"/>
      <c r="J595" s="84"/>
      <c r="N595" s="84"/>
      <c r="R595" s="84"/>
      <c r="V595" s="84"/>
      <c r="Z595" s="84"/>
      <c r="AD595" s="84"/>
      <c r="AH595" s="84"/>
      <c r="AL595" s="84"/>
      <c r="AP595" s="84"/>
      <c r="AT595" s="84"/>
      <c r="AX595" s="84"/>
      <c r="BB595" s="85"/>
      <c r="BC595" s="84"/>
      <c r="BD595" s="84"/>
      <c r="BF595" s="84"/>
      <c r="BL595" s="84"/>
      <c r="BP595" s="86"/>
      <c r="BV595" s="84"/>
      <c r="CA595" s="84"/>
      <c r="CF595" s="84"/>
      <c r="CK595" s="84"/>
      <c r="CP595" s="84"/>
      <c r="CS595" s="86"/>
      <c r="CT595" s="84"/>
      <c r="CW595" s="86"/>
      <c r="CX595" s="84"/>
      <c r="DA595" s="86"/>
      <c r="DB595" s="84"/>
      <c r="DE595" s="86"/>
      <c r="DF595" s="84"/>
      <c r="DI595" s="86"/>
      <c r="DJ595" s="84"/>
      <c r="DM595" s="86"/>
      <c r="DN595" s="84"/>
      <c r="DQ595" s="86"/>
      <c r="DR595" s="85"/>
      <c r="DS595" s="85"/>
      <c r="DT595" s="84"/>
      <c r="DV595" s="84"/>
      <c r="DW595" s="157"/>
      <c r="EB595" s="84"/>
      <c r="EG595" s="84"/>
      <c r="EK595" s="84"/>
      <c r="EO595" s="84"/>
      <c r="ES595" s="84"/>
      <c r="EW595" s="84"/>
    </row>
    <row r="596" customFormat="false" ht="12.75" hidden="false" customHeight="false" outlineLevel="0" collapsed="false">
      <c r="A596" s="37"/>
      <c r="E596" s="83"/>
      <c r="J596" s="84"/>
      <c r="N596" s="84"/>
      <c r="R596" s="84"/>
      <c r="V596" s="84"/>
      <c r="Z596" s="84"/>
      <c r="AD596" s="84"/>
      <c r="AH596" s="84"/>
      <c r="AL596" s="84"/>
      <c r="AP596" s="84"/>
      <c r="AT596" s="84"/>
      <c r="AX596" s="84"/>
      <c r="BB596" s="85"/>
      <c r="BC596" s="84"/>
      <c r="BD596" s="84"/>
      <c r="BF596" s="84"/>
      <c r="BL596" s="84"/>
      <c r="BP596" s="86"/>
      <c r="BV596" s="84"/>
      <c r="CA596" s="84"/>
      <c r="CF596" s="84"/>
      <c r="CK596" s="84"/>
      <c r="CP596" s="84"/>
      <c r="CS596" s="86"/>
      <c r="CT596" s="84"/>
      <c r="CW596" s="86"/>
      <c r="CX596" s="84"/>
      <c r="DA596" s="86"/>
      <c r="DB596" s="84"/>
      <c r="DE596" s="86"/>
      <c r="DF596" s="84"/>
      <c r="DI596" s="86"/>
      <c r="DJ596" s="84"/>
      <c r="DM596" s="86"/>
      <c r="DN596" s="84"/>
      <c r="DQ596" s="86"/>
      <c r="DR596" s="85"/>
      <c r="DS596" s="85"/>
      <c r="DT596" s="84"/>
      <c r="DV596" s="84"/>
      <c r="DW596" s="157"/>
      <c r="EB596" s="84"/>
      <c r="EG596" s="84"/>
      <c r="EK596" s="84"/>
      <c r="EO596" s="84"/>
      <c r="ES596" s="84"/>
      <c r="EW596" s="84"/>
    </row>
    <row r="597" customFormat="false" ht="12.75" hidden="false" customHeight="false" outlineLevel="0" collapsed="false">
      <c r="A597" s="37"/>
      <c r="E597" s="83"/>
      <c r="J597" s="84"/>
      <c r="N597" s="84"/>
      <c r="R597" s="84"/>
      <c r="V597" s="84"/>
      <c r="Z597" s="84"/>
      <c r="AD597" s="84"/>
      <c r="AH597" s="84"/>
      <c r="AL597" s="84"/>
      <c r="AP597" s="84"/>
      <c r="AT597" s="84"/>
      <c r="AX597" s="84"/>
      <c r="BB597" s="85"/>
      <c r="BC597" s="84"/>
      <c r="BD597" s="84"/>
      <c r="BF597" s="84"/>
      <c r="BL597" s="84"/>
      <c r="BP597" s="86"/>
      <c r="BV597" s="84"/>
      <c r="CA597" s="84"/>
      <c r="CF597" s="84"/>
      <c r="CK597" s="84"/>
      <c r="CP597" s="84"/>
      <c r="CS597" s="86"/>
      <c r="CT597" s="84"/>
      <c r="CW597" s="86"/>
      <c r="CX597" s="84"/>
      <c r="DA597" s="86"/>
      <c r="DB597" s="84"/>
      <c r="DE597" s="86"/>
      <c r="DF597" s="84"/>
      <c r="DI597" s="86"/>
      <c r="DJ597" s="84"/>
      <c r="DM597" s="86"/>
      <c r="DN597" s="84"/>
      <c r="DQ597" s="86"/>
      <c r="DR597" s="85"/>
      <c r="DS597" s="85"/>
      <c r="DT597" s="84"/>
      <c r="DV597" s="84"/>
      <c r="DW597" s="157"/>
      <c r="EB597" s="84"/>
      <c r="EG597" s="84"/>
      <c r="EK597" s="84"/>
      <c r="EO597" s="84"/>
      <c r="ES597" s="84"/>
      <c r="EW597" s="84"/>
    </row>
    <row r="598" customFormat="false" ht="12.75" hidden="false" customHeight="false" outlineLevel="0" collapsed="false">
      <c r="A598" s="37"/>
      <c r="E598" s="83"/>
      <c r="J598" s="84"/>
      <c r="N598" s="84"/>
      <c r="R598" s="84"/>
      <c r="V598" s="84"/>
      <c r="Z598" s="84"/>
      <c r="AD598" s="84"/>
      <c r="AH598" s="84"/>
      <c r="AL598" s="84"/>
      <c r="AP598" s="84"/>
      <c r="AT598" s="84"/>
      <c r="AX598" s="84"/>
      <c r="BB598" s="85"/>
      <c r="BC598" s="84"/>
      <c r="BD598" s="84"/>
      <c r="BF598" s="84"/>
      <c r="BL598" s="84"/>
      <c r="BP598" s="86"/>
      <c r="BV598" s="84"/>
      <c r="CA598" s="84"/>
      <c r="CF598" s="84"/>
      <c r="CK598" s="84"/>
      <c r="CP598" s="84"/>
      <c r="CS598" s="86"/>
      <c r="CT598" s="84"/>
      <c r="CW598" s="86"/>
      <c r="CX598" s="84"/>
      <c r="DA598" s="86"/>
      <c r="DB598" s="84"/>
      <c r="DE598" s="86"/>
      <c r="DF598" s="84"/>
      <c r="DI598" s="86"/>
      <c r="DJ598" s="84"/>
      <c r="DM598" s="86"/>
      <c r="DN598" s="84"/>
      <c r="DQ598" s="86"/>
      <c r="DR598" s="85"/>
      <c r="DS598" s="85"/>
      <c r="DT598" s="84"/>
      <c r="DV598" s="84"/>
      <c r="DW598" s="157"/>
      <c r="EB598" s="84"/>
      <c r="EG598" s="84"/>
      <c r="EK598" s="84"/>
      <c r="EO598" s="84"/>
      <c r="ES598" s="84"/>
      <c r="EW598" s="84"/>
    </row>
    <row r="599" customFormat="false" ht="12.75" hidden="false" customHeight="false" outlineLevel="0" collapsed="false">
      <c r="A599" s="37"/>
      <c r="E599" s="83"/>
      <c r="J599" s="84"/>
      <c r="N599" s="84"/>
      <c r="R599" s="84"/>
      <c r="V599" s="84"/>
      <c r="Z599" s="84"/>
      <c r="AD599" s="84"/>
      <c r="AH599" s="84"/>
      <c r="AL599" s="84"/>
      <c r="AP599" s="84"/>
      <c r="AT599" s="84"/>
      <c r="AX599" s="84"/>
      <c r="BB599" s="85"/>
      <c r="BC599" s="84"/>
      <c r="BD599" s="84"/>
      <c r="BF599" s="84"/>
      <c r="BL599" s="84"/>
      <c r="BP599" s="86"/>
      <c r="BV599" s="84"/>
      <c r="CA599" s="84"/>
      <c r="CF599" s="84"/>
      <c r="CK599" s="84"/>
      <c r="CP599" s="84"/>
      <c r="CS599" s="86"/>
      <c r="CT599" s="84"/>
      <c r="CW599" s="86"/>
      <c r="CX599" s="84"/>
      <c r="DA599" s="86"/>
      <c r="DB599" s="84"/>
      <c r="DE599" s="86"/>
      <c r="DF599" s="84"/>
      <c r="DI599" s="86"/>
      <c r="DJ599" s="84"/>
      <c r="DM599" s="86"/>
      <c r="DN599" s="84"/>
      <c r="DQ599" s="86"/>
      <c r="DR599" s="85"/>
      <c r="DS599" s="85"/>
      <c r="DT599" s="84"/>
      <c r="DV599" s="84"/>
      <c r="DW599" s="157"/>
      <c r="EB599" s="84"/>
      <c r="EG599" s="84"/>
      <c r="EK599" s="84"/>
      <c r="EO599" s="84"/>
      <c r="ES599" s="84"/>
      <c r="EW599" s="84"/>
    </row>
    <row r="600" customFormat="false" ht="12.75" hidden="false" customHeight="false" outlineLevel="0" collapsed="false">
      <c r="A600" s="37"/>
      <c r="E600" s="83"/>
      <c r="J600" s="84"/>
      <c r="N600" s="84"/>
      <c r="R600" s="84"/>
      <c r="V600" s="84"/>
      <c r="Z600" s="84"/>
      <c r="AD600" s="84"/>
      <c r="AH600" s="84"/>
      <c r="AL600" s="84"/>
      <c r="AP600" s="84"/>
      <c r="AT600" s="84"/>
      <c r="AX600" s="84"/>
      <c r="BB600" s="85"/>
      <c r="BC600" s="84"/>
      <c r="BD600" s="84"/>
      <c r="BF600" s="84"/>
      <c r="BL600" s="84"/>
      <c r="BP600" s="86"/>
      <c r="BV600" s="84"/>
      <c r="CA600" s="84"/>
      <c r="CF600" s="84"/>
      <c r="CK600" s="84"/>
      <c r="CP600" s="84"/>
      <c r="CS600" s="86"/>
      <c r="CT600" s="84"/>
      <c r="CW600" s="86"/>
      <c r="CX600" s="84"/>
      <c r="DA600" s="86"/>
      <c r="DB600" s="84"/>
      <c r="DE600" s="86"/>
      <c r="DF600" s="84"/>
      <c r="DI600" s="86"/>
      <c r="DJ600" s="84"/>
      <c r="DM600" s="86"/>
      <c r="DN600" s="84"/>
      <c r="DQ600" s="86"/>
      <c r="DR600" s="85"/>
      <c r="DS600" s="85"/>
      <c r="DT600" s="84"/>
      <c r="DV600" s="84"/>
      <c r="DW600" s="157"/>
      <c r="EB600" s="84"/>
      <c r="EG600" s="84"/>
      <c r="EK600" s="84"/>
      <c r="EO600" s="84"/>
      <c r="ES600" s="84"/>
      <c r="EW600" s="84"/>
    </row>
    <row r="601" customFormat="false" ht="12.75" hidden="false" customHeight="false" outlineLevel="0" collapsed="false">
      <c r="A601" s="37"/>
      <c r="E601" s="83"/>
      <c r="J601" s="84"/>
      <c r="N601" s="84"/>
      <c r="R601" s="84"/>
      <c r="V601" s="84"/>
      <c r="Z601" s="84"/>
      <c r="AD601" s="84"/>
      <c r="AH601" s="84"/>
      <c r="AL601" s="84"/>
      <c r="AP601" s="84"/>
      <c r="AT601" s="84"/>
      <c r="AX601" s="84"/>
      <c r="BB601" s="85"/>
      <c r="BC601" s="84"/>
      <c r="BD601" s="84"/>
      <c r="BF601" s="84"/>
      <c r="BL601" s="84"/>
      <c r="BP601" s="86"/>
      <c r="BV601" s="84"/>
      <c r="CA601" s="84"/>
      <c r="CF601" s="84"/>
      <c r="CK601" s="84"/>
      <c r="CP601" s="84"/>
      <c r="CS601" s="86"/>
      <c r="CT601" s="84"/>
      <c r="CW601" s="86"/>
      <c r="CX601" s="84"/>
      <c r="DA601" s="86"/>
      <c r="DB601" s="84"/>
      <c r="DE601" s="86"/>
      <c r="DF601" s="84"/>
      <c r="DI601" s="86"/>
      <c r="DJ601" s="84"/>
      <c r="DM601" s="86"/>
      <c r="DN601" s="84"/>
      <c r="DQ601" s="86"/>
      <c r="DR601" s="85"/>
      <c r="DS601" s="85"/>
      <c r="DT601" s="84"/>
      <c r="DV601" s="84"/>
      <c r="DW601" s="157"/>
      <c r="EB601" s="84"/>
      <c r="EG601" s="84"/>
      <c r="EK601" s="84"/>
      <c r="EO601" s="84"/>
      <c r="ES601" s="84"/>
      <c r="EW601" s="84"/>
    </row>
    <row r="602" customFormat="false" ht="12.75" hidden="false" customHeight="false" outlineLevel="0" collapsed="false">
      <c r="A602" s="37"/>
      <c r="E602" s="83"/>
      <c r="J602" s="84"/>
      <c r="N602" s="84"/>
      <c r="R602" s="84"/>
      <c r="V602" s="84"/>
      <c r="Z602" s="84"/>
      <c r="AD602" s="84"/>
      <c r="AH602" s="84"/>
      <c r="AL602" s="84"/>
      <c r="AP602" s="84"/>
      <c r="AT602" s="84"/>
      <c r="AX602" s="84"/>
      <c r="BB602" s="85"/>
      <c r="BC602" s="84"/>
      <c r="BD602" s="84"/>
      <c r="BF602" s="84"/>
      <c r="BL602" s="84"/>
      <c r="BP602" s="86"/>
      <c r="BV602" s="84"/>
      <c r="CA602" s="84"/>
      <c r="CF602" s="84"/>
      <c r="CK602" s="84"/>
      <c r="CP602" s="84"/>
      <c r="CS602" s="86"/>
      <c r="CT602" s="84"/>
      <c r="CW602" s="86"/>
      <c r="CX602" s="84"/>
      <c r="DA602" s="86"/>
      <c r="DB602" s="84"/>
      <c r="DE602" s="86"/>
      <c r="DF602" s="84"/>
      <c r="DI602" s="86"/>
      <c r="DJ602" s="84"/>
      <c r="DM602" s="86"/>
      <c r="DN602" s="84"/>
      <c r="DQ602" s="86"/>
      <c r="DR602" s="85"/>
      <c r="DS602" s="85"/>
      <c r="DT602" s="84"/>
      <c r="DV602" s="84"/>
      <c r="DW602" s="157"/>
      <c r="EB602" s="84"/>
      <c r="EG602" s="84"/>
      <c r="EK602" s="84"/>
      <c r="EO602" s="84"/>
      <c r="ES602" s="84"/>
      <c r="EW602" s="84"/>
    </row>
    <row r="603" customFormat="false" ht="12.75" hidden="false" customHeight="false" outlineLevel="0" collapsed="false">
      <c r="A603" s="37"/>
      <c r="E603" s="83"/>
      <c r="J603" s="84"/>
      <c r="N603" s="84"/>
      <c r="R603" s="84"/>
      <c r="V603" s="84"/>
      <c r="Z603" s="84"/>
      <c r="AD603" s="84"/>
      <c r="AH603" s="84"/>
      <c r="AL603" s="84"/>
      <c r="AP603" s="84"/>
      <c r="AT603" s="84"/>
      <c r="AX603" s="84"/>
      <c r="BB603" s="85"/>
      <c r="BC603" s="84"/>
      <c r="BD603" s="84"/>
      <c r="BF603" s="84"/>
      <c r="BL603" s="84"/>
      <c r="BP603" s="86"/>
      <c r="BV603" s="84"/>
      <c r="CA603" s="84"/>
      <c r="CF603" s="84"/>
      <c r="CK603" s="84"/>
      <c r="CP603" s="84"/>
      <c r="CS603" s="86"/>
      <c r="CT603" s="84"/>
      <c r="CW603" s="86"/>
      <c r="CX603" s="84"/>
      <c r="DA603" s="86"/>
      <c r="DB603" s="84"/>
      <c r="DE603" s="86"/>
      <c r="DF603" s="84"/>
      <c r="DI603" s="86"/>
      <c r="DJ603" s="84"/>
      <c r="DM603" s="86"/>
      <c r="DN603" s="84"/>
      <c r="DQ603" s="86"/>
      <c r="DR603" s="85"/>
      <c r="DS603" s="85"/>
      <c r="DT603" s="84"/>
      <c r="DV603" s="84"/>
      <c r="DW603" s="157"/>
      <c r="EB603" s="84"/>
      <c r="EG603" s="84"/>
      <c r="EK603" s="84"/>
      <c r="EO603" s="84"/>
      <c r="ES603" s="84"/>
      <c r="EW603" s="84"/>
    </row>
    <row r="604" customFormat="false" ht="12.75" hidden="false" customHeight="false" outlineLevel="0" collapsed="false">
      <c r="A604" s="37"/>
      <c r="E604" s="83"/>
      <c r="J604" s="84"/>
      <c r="N604" s="84"/>
      <c r="R604" s="84"/>
      <c r="V604" s="84"/>
      <c r="Z604" s="84"/>
      <c r="AD604" s="84"/>
      <c r="AH604" s="84"/>
      <c r="AL604" s="84"/>
      <c r="AP604" s="84"/>
      <c r="AT604" s="84"/>
      <c r="AX604" s="84"/>
      <c r="BB604" s="85"/>
      <c r="BC604" s="84"/>
      <c r="BD604" s="84"/>
      <c r="BF604" s="84"/>
      <c r="BL604" s="84"/>
      <c r="BP604" s="86"/>
      <c r="BV604" s="84"/>
      <c r="CA604" s="84"/>
      <c r="CF604" s="84"/>
      <c r="CK604" s="84"/>
      <c r="CP604" s="84"/>
      <c r="CS604" s="86"/>
      <c r="CT604" s="84"/>
      <c r="CW604" s="86"/>
      <c r="CX604" s="84"/>
      <c r="DA604" s="86"/>
      <c r="DB604" s="84"/>
      <c r="DE604" s="86"/>
      <c r="DF604" s="84"/>
      <c r="DI604" s="86"/>
      <c r="DJ604" s="84"/>
      <c r="DM604" s="86"/>
      <c r="DN604" s="84"/>
      <c r="DQ604" s="86"/>
      <c r="DR604" s="85"/>
      <c r="DS604" s="85"/>
      <c r="DT604" s="84"/>
      <c r="DV604" s="84"/>
      <c r="DW604" s="157"/>
      <c r="EB604" s="84"/>
      <c r="EG604" s="84"/>
      <c r="EK604" s="84"/>
      <c r="EO604" s="84"/>
      <c r="ES604" s="84"/>
      <c r="EW604" s="84"/>
    </row>
    <row r="605" customFormat="false" ht="12.75" hidden="false" customHeight="false" outlineLevel="0" collapsed="false">
      <c r="A605" s="37"/>
      <c r="E605" s="83"/>
      <c r="J605" s="84"/>
      <c r="N605" s="84"/>
      <c r="R605" s="84"/>
      <c r="V605" s="84"/>
      <c r="Z605" s="84"/>
      <c r="AD605" s="84"/>
      <c r="AH605" s="84"/>
      <c r="AL605" s="84"/>
      <c r="AP605" s="84"/>
      <c r="AT605" s="84"/>
      <c r="AX605" s="84"/>
      <c r="BB605" s="85"/>
      <c r="BC605" s="84"/>
      <c r="BD605" s="84"/>
      <c r="BF605" s="84"/>
      <c r="BL605" s="84"/>
      <c r="BP605" s="86"/>
      <c r="BV605" s="84"/>
      <c r="CA605" s="84"/>
      <c r="CF605" s="84"/>
      <c r="CK605" s="84"/>
      <c r="CP605" s="84"/>
      <c r="CS605" s="86"/>
      <c r="CT605" s="84"/>
      <c r="CW605" s="86"/>
      <c r="CX605" s="84"/>
      <c r="DA605" s="86"/>
      <c r="DB605" s="84"/>
      <c r="DE605" s="86"/>
      <c r="DF605" s="84"/>
      <c r="DI605" s="86"/>
      <c r="DJ605" s="84"/>
      <c r="DM605" s="86"/>
      <c r="DN605" s="84"/>
      <c r="DQ605" s="86"/>
      <c r="DR605" s="85"/>
      <c r="DS605" s="85"/>
      <c r="DT605" s="84"/>
      <c r="DV605" s="84"/>
      <c r="DW605" s="157"/>
      <c r="EB605" s="84"/>
      <c r="EG605" s="84"/>
      <c r="EK605" s="84"/>
      <c r="EO605" s="84"/>
      <c r="ES605" s="84"/>
      <c r="EW605" s="84"/>
    </row>
    <row r="606" customFormat="false" ht="12.75" hidden="false" customHeight="false" outlineLevel="0" collapsed="false">
      <c r="A606" s="37"/>
      <c r="E606" s="83"/>
      <c r="J606" s="84"/>
      <c r="N606" s="84"/>
      <c r="R606" s="84"/>
      <c r="V606" s="84"/>
      <c r="Z606" s="84"/>
      <c r="AD606" s="84"/>
      <c r="AH606" s="84"/>
      <c r="AL606" s="84"/>
      <c r="AP606" s="84"/>
      <c r="AT606" s="84"/>
      <c r="AX606" s="84"/>
      <c r="BB606" s="85"/>
      <c r="BC606" s="84"/>
      <c r="BD606" s="84"/>
      <c r="BF606" s="84"/>
      <c r="BL606" s="84"/>
      <c r="BP606" s="86"/>
      <c r="BV606" s="84"/>
      <c r="CA606" s="84"/>
      <c r="CF606" s="84"/>
      <c r="CK606" s="84"/>
      <c r="CP606" s="84"/>
      <c r="CS606" s="86"/>
      <c r="CT606" s="84"/>
      <c r="CW606" s="86"/>
      <c r="CX606" s="84"/>
      <c r="DA606" s="86"/>
      <c r="DB606" s="84"/>
      <c r="DE606" s="86"/>
      <c r="DF606" s="84"/>
      <c r="DI606" s="86"/>
      <c r="DJ606" s="84"/>
      <c r="DM606" s="86"/>
      <c r="DN606" s="84"/>
      <c r="DQ606" s="86"/>
      <c r="DR606" s="85"/>
      <c r="DS606" s="85"/>
      <c r="DT606" s="84"/>
      <c r="DV606" s="84"/>
      <c r="DW606" s="157"/>
      <c r="EB606" s="84"/>
      <c r="EG606" s="84"/>
      <c r="EK606" s="84"/>
      <c r="EO606" s="84"/>
      <c r="ES606" s="84"/>
      <c r="EW606" s="84"/>
    </row>
    <row r="607" customFormat="false" ht="12.75" hidden="false" customHeight="false" outlineLevel="0" collapsed="false">
      <c r="A607" s="37"/>
      <c r="E607" s="83"/>
      <c r="J607" s="84"/>
      <c r="N607" s="84"/>
      <c r="R607" s="84"/>
      <c r="V607" s="84"/>
      <c r="Z607" s="84"/>
      <c r="AD607" s="84"/>
      <c r="AH607" s="84"/>
      <c r="AL607" s="84"/>
      <c r="AP607" s="84"/>
      <c r="AT607" s="84"/>
      <c r="AX607" s="84"/>
      <c r="BB607" s="85"/>
      <c r="BC607" s="84"/>
      <c r="BD607" s="84"/>
      <c r="BF607" s="84"/>
      <c r="BL607" s="84"/>
      <c r="BP607" s="86"/>
      <c r="BV607" s="84"/>
      <c r="CA607" s="84"/>
      <c r="CF607" s="84"/>
      <c r="CK607" s="84"/>
      <c r="CP607" s="84"/>
      <c r="CS607" s="86"/>
      <c r="CT607" s="84"/>
      <c r="CW607" s="86"/>
      <c r="CX607" s="84"/>
      <c r="DA607" s="86"/>
      <c r="DB607" s="84"/>
      <c r="DE607" s="86"/>
      <c r="DF607" s="84"/>
      <c r="DI607" s="86"/>
      <c r="DJ607" s="84"/>
      <c r="DM607" s="86"/>
      <c r="DN607" s="84"/>
      <c r="DQ607" s="86"/>
      <c r="DR607" s="85"/>
      <c r="DS607" s="85"/>
      <c r="DT607" s="84"/>
      <c r="DV607" s="84"/>
      <c r="DW607" s="157"/>
      <c r="EB607" s="84"/>
      <c r="EG607" s="84"/>
      <c r="EK607" s="84"/>
      <c r="EO607" s="84"/>
      <c r="ES607" s="84"/>
      <c r="EW607" s="84"/>
    </row>
    <row r="608" customFormat="false" ht="12.75" hidden="false" customHeight="false" outlineLevel="0" collapsed="false">
      <c r="A608" s="37"/>
      <c r="E608" s="83"/>
      <c r="J608" s="84"/>
      <c r="N608" s="84"/>
      <c r="R608" s="84"/>
      <c r="V608" s="84"/>
      <c r="Z608" s="84"/>
      <c r="AD608" s="84"/>
      <c r="AH608" s="84"/>
      <c r="AL608" s="84"/>
      <c r="AP608" s="84"/>
      <c r="AT608" s="84"/>
      <c r="AX608" s="84"/>
      <c r="BB608" s="85"/>
      <c r="BC608" s="84"/>
      <c r="BD608" s="84"/>
      <c r="BF608" s="84"/>
      <c r="BL608" s="84"/>
      <c r="BP608" s="86"/>
      <c r="BV608" s="84"/>
      <c r="CA608" s="84"/>
      <c r="CF608" s="84"/>
      <c r="CK608" s="84"/>
      <c r="CP608" s="84"/>
      <c r="CS608" s="86"/>
      <c r="CT608" s="84"/>
      <c r="CW608" s="86"/>
      <c r="CX608" s="84"/>
      <c r="DA608" s="86"/>
      <c r="DB608" s="84"/>
      <c r="DE608" s="86"/>
      <c r="DF608" s="84"/>
      <c r="DI608" s="86"/>
      <c r="DJ608" s="84"/>
      <c r="DM608" s="86"/>
      <c r="DN608" s="84"/>
      <c r="DQ608" s="86"/>
      <c r="DR608" s="85"/>
      <c r="DS608" s="85"/>
      <c r="DT608" s="84"/>
      <c r="DV608" s="84"/>
      <c r="DW608" s="157"/>
      <c r="EB608" s="84"/>
      <c r="EG608" s="84"/>
      <c r="EK608" s="84"/>
      <c r="EO608" s="84"/>
      <c r="ES608" s="84"/>
      <c r="EW608" s="84"/>
    </row>
    <row r="609" customFormat="false" ht="12.75" hidden="false" customHeight="false" outlineLevel="0" collapsed="false">
      <c r="A609" s="37"/>
      <c r="E609" s="83"/>
      <c r="J609" s="84"/>
      <c r="N609" s="84"/>
      <c r="R609" s="84"/>
      <c r="V609" s="84"/>
      <c r="Z609" s="84"/>
      <c r="AD609" s="84"/>
      <c r="AH609" s="84"/>
      <c r="AL609" s="84"/>
      <c r="AP609" s="84"/>
      <c r="AT609" s="84"/>
      <c r="AX609" s="84"/>
      <c r="BB609" s="85"/>
      <c r="BC609" s="84"/>
      <c r="BD609" s="84"/>
      <c r="BF609" s="84"/>
      <c r="BL609" s="84"/>
      <c r="BP609" s="86"/>
      <c r="BV609" s="84"/>
      <c r="CA609" s="84"/>
      <c r="CF609" s="84"/>
      <c r="CK609" s="84"/>
      <c r="CP609" s="84"/>
      <c r="CS609" s="86"/>
      <c r="CT609" s="84"/>
      <c r="CW609" s="86"/>
      <c r="CX609" s="84"/>
      <c r="DA609" s="86"/>
      <c r="DB609" s="84"/>
      <c r="DE609" s="86"/>
      <c r="DF609" s="84"/>
      <c r="DI609" s="86"/>
      <c r="DJ609" s="84"/>
      <c r="DM609" s="86"/>
      <c r="DN609" s="84"/>
      <c r="DQ609" s="86"/>
      <c r="DR609" s="85"/>
      <c r="DS609" s="85"/>
      <c r="DT609" s="84"/>
      <c r="DV609" s="84"/>
      <c r="DW609" s="157"/>
      <c r="EB609" s="84"/>
      <c r="EG609" s="84"/>
      <c r="EK609" s="84"/>
      <c r="EO609" s="84"/>
      <c r="ES609" s="84"/>
      <c r="EW609" s="84"/>
    </row>
    <row r="610" customFormat="false" ht="12.75" hidden="false" customHeight="false" outlineLevel="0" collapsed="false">
      <c r="A610" s="37"/>
      <c r="E610" s="83"/>
      <c r="J610" s="84"/>
      <c r="N610" s="84"/>
      <c r="R610" s="84"/>
      <c r="V610" s="84"/>
      <c r="Z610" s="84"/>
      <c r="AD610" s="84"/>
      <c r="AH610" s="84"/>
      <c r="AL610" s="84"/>
      <c r="AP610" s="84"/>
      <c r="AT610" s="84"/>
      <c r="AX610" s="84"/>
      <c r="BB610" s="85"/>
      <c r="BC610" s="84"/>
      <c r="BD610" s="84"/>
      <c r="BF610" s="84"/>
      <c r="BL610" s="84"/>
      <c r="BP610" s="86"/>
      <c r="BV610" s="84"/>
      <c r="CA610" s="84"/>
      <c r="CF610" s="84"/>
      <c r="CK610" s="84"/>
      <c r="CP610" s="84"/>
      <c r="CS610" s="86"/>
      <c r="CT610" s="84"/>
      <c r="CW610" s="86"/>
      <c r="CX610" s="84"/>
      <c r="DA610" s="86"/>
      <c r="DB610" s="84"/>
      <c r="DE610" s="86"/>
      <c r="DF610" s="84"/>
      <c r="DI610" s="86"/>
      <c r="DJ610" s="84"/>
      <c r="DM610" s="86"/>
      <c r="DN610" s="84"/>
      <c r="DQ610" s="86"/>
      <c r="DR610" s="85"/>
      <c r="DS610" s="85"/>
      <c r="DT610" s="84"/>
      <c r="DV610" s="84"/>
      <c r="DW610" s="157"/>
      <c r="EB610" s="84"/>
      <c r="EG610" s="84"/>
      <c r="EK610" s="84"/>
      <c r="EO610" s="84"/>
      <c r="ES610" s="84"/>
      <c r="EW610" s="84"/>
    </row>
    <row r="611" customFormat="false" ht="12.75" hidden="false" customHeight="false" outlineLevel="0" collapsed="false">
      <c r="A611" s="37"/>
      <c r="E611" s="83"/>
      <c r="J611" s="84"/>
      <c r="N611" s="84"/>
      <c r="R611" s="84"/>
      <c r="V611" s="84"/>
      <c r="Z611" s="84"/>
      <c r="AD611" s="84"/>
      <c r="AH611" s="84"/>
      <c r="AL611" s="84"/>
      <c r="AP611" s="84"/>
      <c r="AT611" s="84"/>
      <c r="AX611" s="84"/>
      <c r="BB611" s="85"/>
      <c r="BC611" s="84"/>
      <c r="BD611" s="84"/>
      <c r="BF611" s="84"/>
      <c r="BL611" s="84"/>
      <c r="BP611" s="86"/>
      <c r="BV611" s="84"/>
      <c r="CA611" s="84"/>
      <c r="CF611" s="84"/>
      <c r="CK611" s="84"/>
      <c r="CP611" s="84"/>
      <c r="CS611" s="86"/>
      <c r="CT611" s="84"/>
      <c r="CW611" s="86"/>
      <c r="CX611" s="84"/>
      <c r="DA611" s="86"/>
      <c r="DB611" s="84"/>
      <c r="DE611" s="86"/>
      <c r="DF611" s="84"/>
      <c r="DI611" s="86"/>
      <c r="DJ611" s="84"/>
      <c r="DM611" s="86"/>
      <c r="DN611" s="84"/>
      <c r="DQ611" s="86"/>
      <c r="DR611" s="85"/>
      <c r="DS611" s="85"/>
      <c r="DT611" s="84"/>
      <c r="DV611" s="84"/>
      <c r="DW611" s="157"/>
      <c r="EB611" s="84"/>
      <c r="EG611" s="84"/>
      <c r="EK611" s="84"/>
      <c r="EO611" s="84"/>
      <c r="ES611" s="84"/>
      <c r="EW611" s="84"/>
    </row>
    <row r="612" customFormat="false" ht="12.75" hidden="false" customHeight="false" outlineLevel="0" collapsed="false">
      <c r="A612" s="37"/>
      <c r="E612" s="83"/>
      <c r="J612" s="84"/>
      <c r="N612" s="84"/>
      <c r="R612" s="84"/>
      <c r="V612" s="84"/>
      <c r="Z612" s="84"/>
      <c r="AD612" s="84"/>
      <c r="AH612" s="84"/>
      <c r="AL612" s="84"/>
      <c r="AP612" s="84"/>
      <c r="AT612" s="84"/>
      <c r="AX612" s="84"/>
      <c r="BB612" s="85"/>
      <c r="BC612" s="84"/>
      <c r="BD612" s="84"/>
      <c r="BF612" s="84"/>
      <c r="BL612" s="84"/>
      <c r="BP612" s="86"/>
      <c r="BV612" s="84"/>
      <c r="CA612" s="84"/>
      <c r="CF612" s="84"/>
      <c r="CK612" s="84"/>
      <c r="CP612" s="84"/>
      <c r="CS612" s="86"/>
      <c r="CT612" s="84"/>
      <c r="CW612" s="86"/>
      <c r="CX612" s="84"/>
      <c r="DA612" s="86"/>
      <c r="DB612" s="84"/>
      <c r="DE612" s="86"/>
      <c r="DF612" s="84"/>
      <c r="DI612" s="86"/>
      <c r="DJ612" s="84"/>
      <c r="DM612" s="86"/>
      <c r="DN612" s="84"/>
      <c r="DQ612" s="86"/>
      <c r="DR612" s="85"/>
      <c r="DS612" s="85"/>
      <c r="DT612" s="84"/>
      <c r="DV612" s="84"/>
      <c r="DW612" s="157"/>
      <c r="EB612" s="84"/>
      <c r="EG612" s="84"/>
      <c r="EK612" s="84"/>
      <c r="EO612" s="84"/>
      <c r="ES612" s="84"/>
      <c r="EW612" s="84"/>
    </row>
    <row r="613" customFormat="false" ht="12.75" hidden="false" customHeight="false" outlineLevel="0" collapsed="false">
      <c r="A613" s="37"/>
      <c r="E613" s="83"/>
      <c r="J613" s="84"/>
      <c r="N613" s="84"/>
      <c r="R613" s="84"/>
      <c r="V613" s="84"/>
      <c r="Z613" s="84"/>
      <c r="AD613" s="84"/>
      <c r="AH613" s="84"/>
      <c r="AL613" s="84"/>
      <c r="AP613" s="84"/>
      <c r="AT613" s="84"/>
      <c r="AX613" s="84"/>
      <c r="BB613" s="85"/>
      <c r="BC613" s="84"/>
      <c r="BD613" s="84"/>
      <c r="BF613" s="84"/>
      <c r="BL613" s="84"/>
      <c r="BP613" s="86"/>
      <c r="BV613" s="84"/>
      <c r="CA613" s="84"/>
      <c r="CF613" s="84"/>
      <c r="CK613" s="84"/>
      <c r="CP613" s="84"/>
      <c r="CS613" s="86"/>
      <c r="CT613" s="84"/>
      <c r="CW613" s="86"/>
      <c r="CX613" s="84"/>
      <c r="DA613" s="86"/>
      <c r="DB613" s="84"/>
      <c r="DE613" s="86"/>
      <c r="DF613" s="84"/>
      <c r="DI613" s="86"/>
      <c r="DJ613" s="84"/>
      <c r="DM613" s="86"/>
      <c r="DN613" s="84"/>
      <c r="DQ613" s="86"/>
      <c r="DR613" s="85"/>
      <c r="DS613" s="85"/>
      <c r="DT613" s="84"/>
      <c r="DV613" s="84"/>
      <c r="DW613" s="157"/>
      <c r="EB613" s="84"/>
      <c r="EG613" s="84"/>
      <c r="EK613" s="84"/>
      <c r="EO613" s="84"/>
      <c r="ES613" s="84"/>
      <c r="EW613" s="84"/>
    </row>
    <row r="614" customFormat="false" ht="12.75" hidden="false" customHeight="false" outlineLevel="0" collapsed="false">
      <c r="A614" s="37"/>
      <c r="E614" s="83"/>
      <c r="J614" s="84"/>
      <c r="N614" s="84"/>
      <c r="R614" s="84"/>
      <c r="V614" s="84"/>
      <c r="Z614" s="84"/>
      <c r="AD614" s="84"/>
      <c r="AH614" s="84"/>
      <c r="AL614" s="84"/>
      <c r="AP614" s="84"/>
      <c r="AT614" s="84"/>
      <c r="AX614" s="84"/>
      <c r="BB614" s="85"/>
      <c r="BC614" s="84"/>
      <c r="BD614" s="84"/>
      <c r="BF614" s="84"/>
      <c r="BL614" s="84"/>
      <c r="BP614" s="86"/>
      <c r="BV614" s="84"/>
      <c r="CA614" s="84"/>
      <c r="CF614" s="84"/>
      <c r="CK614" s="84"/>
      <c r="CP614" s="84"/>
      <c r="CS614" s="86"/>
      <c r="CT614" s="84"/>
      <c r="CW614" s="86"/>
      <c r="CX614" s="84"/>
      <c r="DA614" s="86"/>
      <c r="DB614" s="84"/>
      <c r="DE614" s="86"/>
      <c r="DF614" s="84"/>
      <c r="DI614" s="86"/>
      <c r="DJ614" s="84"/>
      <c r="DM614" s="86"/>
      <c r="DN614" s="84"/>
      <c r="DQ614" s="86"/>
      <c r="DR614" s="85"/>
      <c r="DS614" s="85"/>
      <c r="DT614" s="84"/>
      <c r="DV614" s="84"/>
      <c r="DW614" s="157"/>
      <c r="EB614" s="84"/>
      <c r="EG614" s="84"/>
      <c r="EK614" s="84"/>
      <c r="EO614" s="84"/>
      <c r="ES614" s="84"/>
      <c r="EW614" s="84"/>
    </row>
    <row r="615" customFormat="false" ht="12.75" hidden="false" customHeight="false" outlineLevel="0" collapsed="false">
      <c r="A615" s="37"/>
      <c r="E615" s="83"/>
      <c r="J615" s="84"/>
      <c r="N615" s="84"/>
      <c r="R615" s="84"/>
      <c r="V615" s="84"/>
      <c r="Z615" s="84"/>
      <c r="AD615" s="84"/>
      <c r="AH615" s="84"/>
      <c r="AL615" s="84"/>
      <c r="AP615" s="84"/>
      <c r="AT615" s="84"/>
      <c r="AX615" s="84"/>
      <c r="BB615" s="85"/>
      <c r="BC615" s="84"/>
      <c r="BD615" s="84"/>
      <c r="BF615" s="84"/>
      <c r="BL615" s="84"/>
      <c r="BP615" s="86"/>
      <c r="BV615" s="84"/>
      <c r="CA615" s="84"/>
      <c r="CF615" s="84"/>
      <c r="CK615" s="84"/>
      <c r="CP615" s="84"/>
      <c r="CS615" s="86"/>
      <c r="CT615" s="84"/>
      <c r="CW615" s="86"/>
      <c r="CX615" s="84"/>
      <c r="DA615" s="86"/>
      <c r="DB615" s="84"/>
      <c r="DE615" s="86"/>
      <c r="DF615" s="84"/>
      <c r="DI615" s="86"/>
      <c r="DJ615" s="84"/>
      <c r="DM615" s="86"/>
      <c r="DN615" s="84"/>
      <c r="DQ615" s="86"/>
      <c r="DR615" s="85"/>
      <c r="DS615" s="85"/>
      <c r="DT615" s="84"/>
      <c r="DV615" s="84"/>
      <c r="DW615" s="157"/>
      <c r="EB615" s="84"/>
      <c r="EG615" s="84"/>
      <c r="EK615" s="84"/>
      <c r="EO615" s="84"/>
      <c r="ES615" s="84"/>
      <c r="EW615" s="84"/>
    </row>
    <row r="616" customFormat="false" ht="12.75" hidden="false" customHeight="false" outlineLevel="0" collapsed="false">
      <c r="A616" s="37"/>
      <c r="E616" s="83"/>
      <c r="J616" s="84"/>
      <c r="N616" s="84"/>
      <c r="R616" s="84"/>
      <c r="V616" s="84"/>
      <c r="Z616" s="84"/>
      <c r="AD616" s="84"/>
      <c r="AH616" s="84"/>
      <c r="AL616" s="84"/>
      <c r="AP616" s="84"/>
      <c r="AT616" s="84"/>
      <c r="AX616" s="84"/>
      <c r="BB616" s="85"/>
      <c r="BC616" s="84"/>
      <c r="BD616" s="84"/>
      <c r="BF616" s="84"/>
      <c r="BL616" s="84"/>
      <c r="BP616" s="86"/>
      <c r="BV616" s="84"/>
      <c r="CA616" s="84"/>
      <c r="CF616" s="84"/>
      <c r="CK616" s="84"/>
      <c r="CP616" s="84"/>
      <c r="CS616" s="86"/>
      <c r="CT616" s="84"/>
      <c r="CW616" s="86"/>
      <c r="CX616" s="84"/>
      <c r="DA616" s="86"/>
      <c r="DB616" s="84"/>
      <c r="DE616" s="86"/>
      <c r="DF616" s="84"/>
      <c r="DI616" s="86"/>
      <c r="DJ616" s="84"/>
      <c r="DM616" s="86"/>
      <c r="DN616" s="84"/>
      <c r="DQ616" s="86"/>
      <c r="DR616" s="85"/>
      <c r="DS616" s="85"/>
      <c r="DT616" s="84"/>
      <c r="DV616" s="84"/>
      <c r="DW616" s="157"/>
      <c r="EB616" s="84"/>
      <c r="EG616" s="84"/>
      <c r="EK616" s="84"/>
      <c r="EO616" s="84"/>
      <c r="ES616" s="84"/>
      <c r="EW616" s="84"/>
    </row>
    <row r="617" customFormat="false" ht="12.75" hidden="false" customHeight="false" outlineLevel="0" collapsed="false">
      <c r="A617" s="37"/>
      <c r="E617" s="83"/>
      <c r="J617" s="84"/>
      <c r="N617" s="84"/>
      <c r="R617" s="84"/>
      <c r="V617" s="84"/>
      <c r="Z617" s="84"/>
      <c r="AD617" s="84"/>
      <c r="AH617" s="84"/>
      <c r="AL617" s="84"/>
      <c r="AP617" s="84"/>
      <c r="AT617" s="84"/>
      <c r="AX617" s="84"/>
      <c r="BB617" s="85"/>
      <c r="BC617" s="84"/>
      <c r="BD617" s="84"/>
      <c r="BF617" s="84"/>
      <c r="BL617" s="84"/>
      <c r="BP617" s="86"/>
      <c r="BV617" s="84"/>
      <c r="CA617" s="84"/>
      <c r="CF617" s="84"/>
      <c r="CK617" s="84"/>
      <c r="CP617" s="84"/>
      <c r="CS617" s="86"/>
      <c r="CT617" s="84"/>
      <c r="CW617" s="86"/>
      <c r="CX617" s="84"/>
      <c r="DA617" s="86"/>
      <c r="DB617" s="84"/>
      <c r="DE617" s="86"/>
      <c r="DF617" s="84"/>
      <c r="DI617" s="86"/>
      <c r="DJ617" s="84"/>
      <c r="DM617" s="86"/>
      <c r="DN617" s="84"/>
      <c r="DQ617" s="86"/>
      <c r="DR617" s="85"/>
      <c r="DS617" s="85"/>
      <c r="DT617" s="84"/>
      <c r="DV617" s="84"/>
      <c r="DW617" s="157"/>
      <c r="EB617" s="84"/>
      <c r="EG617" s="84"/>
      <c r="EK617" s="84"/>
      <c r="EO617" s="84"/>
      <c r="ES617" s="84"/>
      <c r="EW617" s="84"/>
    </row>
    <row r="618" customFormat="false" ht="12.75" hidden="false" customHeight="false" outlineLevel="0" collapsed="false">
      <c r="A618" s="37"/>
      <c r="E618" s="83"/>
      <c r="J618" s="84"/>
      <c r="N618" s="84"/>
      <c r="R618" s="84"/>
      <c r="V618" s="84"/>
      <c r="Z618" s="84"/>
      <c r="AD618" s="84"/>
      <c r="AH618" s="84"/>
      <c r="AL618" s="84"/>
      <c r="AP618" s="84"/>
      <c r="AT618" s="84"/>
      <c r="AX618" s="84"/>
      <c r="BB618" s="85"/>
      <c r="BC618" s="84"/>
      <c r="BD618" s="84"/>
      <c r="BF618" s="84"/>
      <c r="BL618" s="84"/>
      <c r="BP618" s="86"/>
      <c r="BV618" s="84"/>
      <c r="CA618" s="84"/>
      <c r="CF618" s="84"/>
      <c r="CK618" s="84"/>
      <c r="CP618" s="84"/>
      <c r="CS618" s="86"/>
      <c r="CT618" s="84"/>
      <c r="CW618" s="86"/>
      <c r="CX618" s="84"/>
      <c r="DA618" s="86"/>
      <c r="DB618" s="84"/>
      <c r="DE618" s="86"/>
      <c r="DF618" s="84"/>
      <c r="DI618" s="86"/>
      <c r="DJ618" s="84"/>
      <c r="DM618" s="86"/>
      <c r="DN618" s="84"/>
      <c r="DQ618" s="86"/>
      <c r="DR618" s="85"/>
      <c r="DS618" s="85"/>
      <c r="DT618" s="84"/>
      <c r="DV618" s="84"/>
      <c r="DW618" s="157"/>
      <c r="EB618" s="84"/>
      <c r="EG618" s="84"/>
      <c r="EK618" s="84"/>
      <c r="EO618" s="84"/>
      <c r="ES618" s="84"/>
      <c r="EW618" s="84"/>
    </row>
    <row r="619" customFormat="false" ht="12.75" hidden="false" customHeight="false" outlineLevel="0" collapsed="false">
      <c r="A619" s="37"/>
      <c r="E619" s="83"/>
      <c r="J619" s="84"/>
      <c r="N619" s="84"/>
      <c r="R619" s="84"/>
      <c r="V619" s="84"/>
      <c r="Z619" s="84"/>
      <c r="AD619" s="84"/>
      <c r="AH619" s="84"/>
      <c r="AL619" s="84"/>
      <c r="AP619" s="84"/>
      <c r="AT619" s="84"/>
      <c r="AX619" s="84"/>
      <c r="BB619" s="85"/>
      <c r="BC619" s="84"/>
      <c r="BD619" s="84"/>
      <c r="BF619" s="84"/>
      <c r="BL619" s="84"/>
      <c r="BP619" s="86"/>
      <c r="BV619" s="84"/>
      <c r="CA619" s="84"/>
      <c r="CF619" s="84"/>
      <c r="CK619" s="84"/>
      <c r="CP619" s="84"/>
      <c r="CS619" s="86"/>
      <c r="CT619" s="84"/>
      <c r="CW619" s="86"/>
      <c r="CX619" s="84"/>
      <c r="DA619" s="86"/>
      <c r="DB619" s="84"/>
      <c r="DE619" s="86"/>
      <c r="DF619" s="84"/>
      <c r="DI619" s="86"/>
      <c r="DJ619" s="84"/>
      <c r="DM619" s="86"/>
      <c r="DN619" s="84"/>
      <c r="DQ619" s="86"/>
      <c r="DR619" s="85"/>
      <c r="DS619" s="85"/>
      <c r="DT619" s="84"/>
      <c r="DV619" s="84"/>
      <c r="DW619" s="157"/>
      <c r="EB619" s="84"/>
      <c r="EG619" s="84"/>
      <c r="EK619" s="84"/>
      <c r="EO619" s="84"/>
      <c r="ES619" s="84"/>
      <c r="EW619" s="84"/>
    </row>
    <row r="620" customFormat="false" ht="12.75" hidden="false" customHeight="false" outlineLevel="0" collapsed="false">
      <c r="A620" s="37"/>
      <c r="E620" s="83"/>
      <c r="J620" s="84"/>
      <c r="N620" s="84"/>
      <c r="R620" s="84"/>
      <c r="V620" s="84"/>
      <c r="Z620" s="84"/>
      <c r="AD620" s="84"/>
      <c r="AH620" s="84"/>
      <c r="AL620" s="84"/>
      <c r="AP620" s="84"/>
      <c r="AT620" s="84"/>
      <c r="AX620" s="84"/>
      <c r="BB620" s="85"/>
      <c r="BC620" s="84"/>
      <c r="BD620" s="84"/>
      <c r="BF620" s="84"/>
      <c r="BL620" s="84"/>
      <c r="BP620" s="86"/>
      <c r="BV620" s="84"/>
      <c r="CA620" s="84"/>
      <c r="CF620" s="84"/>
      <c r="CK620" s="84"/>
      <c r="CP620" s="84"/>
      <c r="CS620" s="86"/>
      <c r="CT620" s="84"/>
      <c r="CW620" s="86"/>
      <c r="CX620" s="84"/>
      <c r="DA620" s="86"/>
      <c r="DB620" s="84"/>
      <c r="DE620" s="86"/>
      <c r="DF620" s="84"/>
      <c r="DI620" s="86"/>
      <c r="DJ620" s="84"/>
      <c r="DM620" s="86"/>
      <c r="DN620" s="84"/>
      <c r="DQ620" s="86"/>
      <c r="DR620" s="85"/>
      <c r="DS620" s="85"/>
      <c r="DT620" s="84"/>
      <c r="DV620" s="84"/>
      <c r="DW620" s="157"/>
      <c r="EB620" s="84"/>
      <c r="EG620" s="84"/>
      <c r="EK620" s="84"/>
      <c r="EO620" s="84"/>
      <c r="ES620" s="84"/>
      <c r="EW620" s="84"/>
    </row>
    <row r="621" customFormat="false" ht="12.75" hidden="false" customHeight="false" outlineLevel="0" collapsed="false">
      <c r="A621" s="37"/>
      <c r="E621" s="83"/>
      <c r="J621" s="84"/>
      <c r="N621" s="84"/>
      <c r="R621" s="84"/>
      <c r="V621" s="84"/>
      <c r="Z621" s="84"/>
      <c r="AD621" s="84"/>
      <c r="AH621" s="84"/>
      <c r="AL621" s="84"/>
      <c r="AP621" s="84"/>
      <c r="AT621" s="84"/>
      <c r="AX621" s="84"/>
      <c r="BB621" s="85"/>
      <c r="BC621" s="84"/>
      <c r="BD621" s="84"/>
      <c r="BF621" s="84"/>
      <c r="BL621" s="84"/>
      <c r="BP621" s="86"/>
      <c r="BV621" s="84"/>
      <c r="CA621" s="84"/>
      <c r="CF621" s="84"/>
      <c r="CK621" s="84"/>
      <c r="CP621" s="84"/>
      <c r="CS621" s="86"/>
      <c r="CT621" s="84"/>
      <c r="CW621" s="86"/>
      <c r="CX621" s="84"/>
      <c r="DA621" s="86"/>
      <c r="DB621" s="84"/>
      <c r="DE621" s="86"/>
      <c r="DF621" s="84"/>
      <c r="DI621" s="86"/>
      <c r="DJ621" s="84"/>
      <c r="DM621" s="86"/>
      <c r="DN621" s="84"/>
      <c r="DQ621" s="86"/>
      <c r="DR621" s="85"/>
      <c r="DS621" s="85"/>
      <c r="DT621" s="84"/>
      <c r="DV621" s="84"/>
      <c r="DW621" s="157"/>
      <c r="EB621" s="84"/>
      <c r="EG621" s="84"/>
      <c r="EK621" s="84"/>
      <c r="EO621" s="84"/>
      <c r="ES621" s="84"/>
      <c r="EW621" s="84"/>
    </row>
    <row r="622" customFormat="false" ht="12.75" hidden="false" customHeight="false" outlineLevel="0" collapsed="false">
      <c r="A622" s="37"/>
      <c r="E622" s="83"/>
      <c r="J622" s="84"/>
      <c r="N622" s="84"/>
      <c r="R622" s="84"/>
      <c r="V622" s="84"/>
      <c r="Z622" s="84"/>
      <c r="AD622" s="84"/>
      <c r="AH622" s="84"/>
      <c r="AL622" s="84"/>
      <c r="AP622" s="84"/>
      <c r="AT622" s="84"/>
      <c r="AX622" s="84"/>
      <c r="BB622" s="85"/>
      <c r="BC622" s="84"/>
      <c r="BD622" s="84"/>
      <c r="BF622" s="84"/>
      <c r="BL622" s="84"/>
      <c r="BP622" s="86"/>
      <c r="BV622" s="84"/>
      <c r="CA622" s="84"/>
      <c r="CF622" s="84"/>
      <c r="CK622" s="84"/>
      <c r="CP622" s="84"/>
      <c r="CS622" s="86"/>
      <c r="CT622" s="84"/>
      <c r="CW622" s="86"/>
      <c r="CX622" s="84"/>
      <c r="DA622" s="86"/>
      <c r="DB622" s="84"/>
      <c r="DE622" s="86"/>
      <c r="DF622" s="84"/>
      <c r="DI622" s="86"/>
      <c r="DJ622" s="84"/>
      <c r="DM622" s="86"/>
      <c r="DN622" s="84"/>
      <c r="DQ622" s="86"/>
      <c r="DR622" s="85"/>
      <c r="DS622" s="85"/>
      <c r="DT622" s="84"/>
      <c r="DV622" s="84"/>
      <c r="DW622" s="157"/>
      <c r="EB622" s="84"/>
      <c r="EG622" s="84"/>
      <c r="EK622" s="84"/>
      <c r="EO622" s="84"/>
      <c r="ES622" s="84"/>
      <c r="EW622" s="84"/>
    </row>
    <row r="623" customFormat="false" ht="12.75" hidden="false" customHeight="false" outlineLevel="0" collapsed="false">
      <c r="A623" s="37"/>
      <c r="E623" s="83"/>
      <c r="J623" s="84"/>
      <c r="N623" s="84"/>
      <c r="R623" s="84"/>
      <c r="V623" s="84"/>
      <c r="Z623" s="84"/>
      <c r="AD623" s="84"/>
      <c r="AH623" s="84"/>
      <c r="AL623" s="84"/>
      <c r="AP623" s="84"/>
      <c r="AT623" s="84"/>
      <c r="AX623" s="84"/>
      <c r="BB623" s="85"/>
      <c r="BC623" s="84"/>
      <c r="BD623" s="84"/>
      <c r="BF623" s="84"/>
      <c r="BL623" s="84"/>
      <c r="BP623" s="86"/>
      <c r="BV623" s="84"/>
      <c r="CA623" s="84"/>
      <c r="CF623" s="84"/>
      <c r="CK623" s="84"/>
      <c r="CP623" s="84"/>
      <c r="CS623" s="86"/>
      <c r="CT623" s="84"/>
      <c r="CW623" s="86"/>
      <c r="CX623" s="84"/>
      <c r="DA623" s="86"/>
      <c r="DB623" s="84"/>
      <c r="DE623" s="86"/>
      <c r="DF623" s="84"/>
      <c r="DI623" s="86"/>
      <c r="DJ623" s="84"/>
      <c r="DM623" s="86"/>
      <c r="DN623" s="84"/>
      <c r="DQ623" s="86"/>
      <c r="DR623" s="85"/>
      <c r="DS623" s="85"/>
      <c r="DT623" s="84"/>
      <c r="DV623" s="84"/>
      <c r="DW623" s="157"/>
      <c r="EB623" s="84"/>
      <c r="EG623" s="84"/>
      <c r="EK623" s="84"/>
      <c r="EO623" s="84"/>
      <c r="ES623" s="84"/>
      <c r="EW623" s="84"/>
    </row>
    <row r="624" customFormat="false" ht="12.75" hidden="false" customHeight="false" outlineLevel="0" collapsed="false">
      <c r="A624" s="37"/>
      <c r="E624" s="83"/>
      <c r="J624" s="84"/>
      <c r="N624" s="84"/>
      <c r="R624" s="84"/>
      <c r="V624" s="84"/>
      <c r="Z624" s="84"/>
      <c r="AD624" s="84"/>
      <c r="AH624" s="84"/>
      <c r="AL624" s="84"/>
      <c r="AP624" s="84"/>
      <c r="AT624" s="84"/>
      <c r="AX624" s="84"/>
      <c r="BB624" s="85"/>
      <c r="BC624" s="84"/>
      <c r="BD624" s="84"/>
      <c r="BF624" s="84"/>
      <c r="BL624" s="84"/>
      <c r="BP624" s="86"/>
      <c r="BV624" s="84"/>
      <c r="CA624" s="84"/>
      <c r="CF624" s="84"/>
      <c r="CK624" s="84"/>
      <c r="CP624" s="84"/>
      <c r="CS624" s="86"/>
      <c r="CT624" s="84"/>
      <c r="CW624" s="86"/>
      <c r="CX624" s="84"/>
      <c r="DA624" s="86"/>
      <c r="DB624" s="84"/>
      <c r="DE624" s="86"/>
      <c r="DF624" s="84"/>
      <c r="DI624" s="86"/>
      <c r="DJ624" s="84"/>
      <c r="DM624" s="86"/>
      <c r="DN624" s="84"/>
      <c r="DQ624" s="86"/>
      <c r="DR624" s="85"/>
      <c r="DS624" s="85"/>
      <c r="DT624" s="84"/>
      <c r="DV624" s="84"/>
      <c r="DW624" s="157"/>
      <c r="EB624" s="84"/>
      <c r="EG624" s="84"/>
      <c r="EK624" s="84"/>
      <c r="EO624" s="84"/>
      <c r="ES624" s="84"/>
      <c r="EW624" s="84"/>
    </row>
    <row r="625" customFormat="false" ht="12.75" hidden="false" customHeight="false" outlineLevel="0" collapsed="false">
      <c r="A625" s="37"/>
      <c r="E625" s="83"/>
      <c r="J625" s="84"/>
      <c r="N625" s="84"/>
      <c r="R625" s="84"/>
      <c r="V625" s="84"/>
      <c r="Z625" s="84"/>
      <c r="AD625" s="84"/>
      <c r="AH625" s="84"/>
      <c r="AL625" s="84"/>
      <c r="AP625" s="84"/>
      <c r="AT625" s="84"/>
      <c r="AX625" s="84"/>
      <c r="BB625" s="85"/>
      <c r="BC625" s="84"/>
      <c r="BD625" s="84"/>
      <c r="BF625" s="84"/>
      <c r="BL625" s="84"/>
      <c r="BP625" s="86"/>
      <c r="BV625" s="84"/>
      <c r="CA625" s="84"/>
      <c r="CF625" s="84"/>
      <c r="CK625" s="84"/>
      <c r="CP625" s="84"/>
      <c r="CS625" s="86"/>
      <c r="CT625" s="84"/>
      <c r="CW625" s="86"/>
      <c r="CX625" s="84"/>
      <c r="DA625" s="86"/>
      <c r="DB625" s="84"/>
      <c r="DE625" s="86"/>
      <c r="DF625" s="84"/>
      <c r="DI625" s="86"/>
      <c r="DJ625" s="84"/>
      <c r="DM625" s="86"/>
      <c r="DN625" s="84"/>
      <c r="DQ625" s="86"/>
      <c r="DR625" s="85"/>
      <c r="DS625" s="85"/>
      <c r="DT625" s="84"/>
      <c r="DV625" s="84"/>
      <c r="DW625" s="157"/>
      <c r="EB625" s="84"/>
      <c r="EG625" s="84"/>
      <c r="EK625" s="84"/>
      <c r="EO625" s="84"/>
      <c r="ES625" s="84"/>
      <c r="EW625" s="84"/>
    </row>
    <row r="626" customFormat="false" ht="12.75" hidden="false" customHeight="false" outlineLevel="0" collapsed="false">
      <c r="A626" s="37"/>
      <c r="E626" s="83"/>
      <c r="J626" s="84"/>
      <c r="N626" s="84"/>
      <c r="R626" s="84"/>
      <c r="V626" s="84"/>
      <c r="Z626" s="84"/>
      <c r="AD626" s="84"/>
      <c r="AH626" s="84"/>
      <c r="AL626" s="84"/>
      <c r="AP626" s="84"/>
      <c r="AT626" s="84"/>
      <c r="AX626" s="84"/>
      <c r="BB626" s="85"/>
      <c r="BC626" s="84"/>
      <c r="BD626" s="84"/>
      <c r="BF626" s="84"/>
      <c r="BL626" s="84"/>
      <c r="BP626" s="86"/>
      <c r="BV626" s="84"/>
      <c r="CA626" s="84"/>
      <c r="CF626" s="84"/>
      <c r="CK626" s="84"/>
      <c r="CP626" s="84"/>
      <c r="CS626" s="86"/>
      <c r="CT626" s="84"/>
      <c r="CW626" s="86"/>
      <c r="CX626" s="84"/>
      <c r="DA626" s="86"/>
      <c r="DB626" s="84"/>
      <c r="DE626" s="86"/>
      <c r="DF626" s="84"/>
      <c r="DI626" s="86"/>
      <c r="DJ626" s="84"/>
      <c r="DM626" s="86"/>
      <c r="DN626" s="84"/>
      <c r="DQ626" s="86"/>
      <c r="DR626" s="85"/>
      <c r="DS626" s="85"/>
      <c r="DT626" s="84"/>
      <c r="DV626" s="84"/>
      <c r="DW626" s="157"/>
      <c r="EB626" s="84"/>
      <c r="EG626" s="84"/>
      <c r="EK626" s="84"/>
      <c r="EO626" s="84"/>
      <c r="ES626" s="84"/>
      <c r="EW626" s="84"/>
    </row>
    <row r="627" customFormat="false" ht="12.75" hidden="false" customHeight="false" outlineLevel="0" collapsed="false">
      <c r="A627" s="37"/>
      <c r="E627" s="83"/>
      <c r="J627" s="84"/>
      <c r="N627" s="84"/>
      <c r="R627" s="84"/>
      <c r="V627" s="84"/>
      <c r="Z627" s="84"/>
      <c r="AD627" s="84"/>
      <c r="AH627" s="84"/>
      <c r="AL627" s="84"/>
      <c r="AP627" s="84"/>
      <c r="AT627" s="84"/>
      <c r="AX627" s="84"/>
      <c r="BB627" s="85"/>
      <c r="BC627" s="84"/>
      <c r="BD627" s="84"/>
      <c r="BF627" s="84"/>
      <c r="BL627" s="84"/>
      <c r="BP627" s="86"/>
      <c r="BV627" s="84"/>
      <c r="CA627" s="84"/>
      <c r="CF627" s="84"/>
      <c r="CK627" s="84"/>
      <c r="CP627" s="84"/>
      <c r="CS627" s="86"/>
      <c r="CT627" s="84"/>
      <c r="CW627" s="86"/>
      <c r="CX627" s="84"/>
      <c r="DA627" s="86"/>
      <c r="DB627" s="84"/>
      <c r="DE627" s="86"/>
      <c r="DF627" s="84"/>
      <c r="DI627" s="86"/>
      <c r="DJ627" s="84"/>
      <c r="DM627" s="86"/>
      <c r="DN627" s="84"/>
      <c r="DQ627" s="86"/>
      <c r="DR627" s="85"/>
      <c r="DS627" s="85"/>
      <c r="DT627" s="84"/>
      <c r="DV627" s="84"/>
      <c r="DW627" s="157"/>
      <c r="EB627" s="84"/>
      <c r="EG627" s="84"/>
      <c r="EK627" s="84"/>
      <c r="EO627" s="84"/>
      <c r="ES627" s="84"/>
      <c r="EW627" s="84"/>
    </row>
    <row r="628" customFormat="false" ht="12.75" hidden="false" customHeight="false" outlineLevel="0" collapsed="false">
      <c r="A628" s="37"/>
      <c r="E628" s="83"/>
      <c r="J628" s="84"/>
      <c r="N628" s="84"/>
      <c r="R628" s="84"/>
      <c r="V628" s="84"/>
      <c r="Z628" s="84"/>
      <c r="AD628" s="84"/>
      <c r="AH628" s="84"/>
      <c r="AL628" s="84"/>
      <c r="AP628" s="84"/>
      <c r="AT628" s="84"/>
      <c r="AX628" s="84"/>
      <c r="BB628" s="85"/>
      <c r="BC628" s="84"/>
      <c r="BD628" s="84"/>
      <c r="BF628" s="84"/>
      <c r="BL628" s="84"/>
      <c r="BP628" s="86"/>
      <c r="BV628" s="84"/>
      <c r="CA628" s="84"/>
      <c r="CF628" s="84"/>
      <c r="CK628" s="84"/>
      <c r="CP628" s="84"/>
      <c r="CS628" s="86"/>
      <c r="CT628" s="84"/>
      <c r="CW628" s="86"/>
      <c r="CX628" s="84"/>
      <c r="DA628" s="86"/>
      <c r="DB628" s="84"/>
      <c r="DE628" s="86"/>
      <c r="DF628" s="84"/>
      <c r="DI628" s="86"/>
      <c r="DJ628" s="84"/>
      <c r="DM628" s="86"/>
      <c r="DN628" s="84"/>
      <c r="DQ628" s="86"/>
      <c r="DR628" s="85"/>
      <c r="DS628" s="85"/>
      <c r="DT628" s="84"/>
      <c r="DV628" s="84"/>
      <c r="DW628" s="157"/>
      <c r="EB628" s="84"/>
      <c r="EG628" s="84"/>
      <c r="EK628" s="84"/>
      <c r="EO628" s="84"/>
      <c r="ES628" s="84"/>
      <c r="EW628" s="84"/>
    </row>
    <row r="629" customFormat="false" ht="12.75" hidden="false" customHeight="false" outlineLevel="0" collapsed="false">
      <c r="A629" s="37"/>
      <c r="E629" s="83"/>
      <c r="J629" s="84"/>
      <c r="N629" s="84"/>
      <c r="R629" s="84"/>
      <c r="V629" s="84"/>
      <c r="Z629" s="84"/>
      <c r="AD629" s="84"/>
      <c r="AH629" s="84"/>
      <c r="AL629" s="84"/>
      <c r="AP629" s="84"/>
      <c r="AT629" s="84"/>
      <c r="AX629" s="84"/>
      <c r="BB629" s="85"/>
      <c r="BC629" s="84"/>
      <c r="BD629" s="84"/>
      <c r="BF629" s="84"/>
      <c r="BL629" s="84"/>
      <c r="BP629" s="86"/>
      <c r="BV629" s="84"/>
      <c r="CA629" s="84"/>
      <c r="CF629" s="84"/>
      <c r="CK629" s="84"/>
      <c r="CP629" s="84"/>
      <c r="CS629" s="86"/>
      <c r="CT629" s="84"/>
      <c r="CW629" s="86"/>
      <c r="CX629" s="84"/>
      <c r="DA629" s="86"/>
      <c r="DB629" s="84"/>
      <c r="DE629" s="86"/>
      <c r="DF629" s="84"/>
      <c r="DI629" s="86"/>
      <c r="DJ629" s="84"/>
      <c r="DM629" s="86"/>
      <c r="DN629" s="84"/>
      <c r="DQ629" s="86"/>
      <c r="DR629" s="85"/>
      <c r="DS629" s="85"/>
      <c r="DT629" s="84"/>
      <c r="DV629" s="84"/>
      <c r="DW629" s="157"/>
      <c r="EB629" s="84"/>
      <c r="EG629" s="84"/>
      <c r="EK629" s="84"/>
      <c r="EO629" s="84"/>
      <c r="ES629" s="84"/>
      <c r="EW629" s="84"/>
    </row>
    <row r="630" customFormat="false" ht="12.75" hidden="false" customHeight="false" outlineLevel="0" collapsed="false">
      <c r="A630" s="37"/>
      <c r="E630" s="83"/>
      <c r="J630" s="84"/>
      <c r="N630" s="84"/>
      <c r="R630" s="84"/>
      <c r="V630" s="84"/>
      <c r="Z630" s="84"/>
      <c r="AD630" s="84"/>
      <c r="AH630" s="84"/>
      <c r="AL630" s="84"/>
      <c r="AP630" s="84"/>
      <c r="AT630" s="84"/>
      <c r="AX630" s="84"/>
      <c r="BB630" s="85"/>
      <c r="BC630" s="84"/>
      <c r="BD630" s="84"/>
      <c r="BF630" s="84"/>
      <c r="BL630" s="84"/>
      <c r="BP630" s="86"/>
      <c r="BV630" s="84"/>
      <c r="CA630" s="84"/>
      <c r="CF630" s="84"/>
      <c r="CK630" s="84"/>
      <c r="CP630" s="84"/>
      <c r="CS630" s="86"/>
      <c r="CT630" s="84"/>
      <c r="CW630" s="86"/>
      <c r="CX630" s="84"/>
      <c r="DA630" s="86"/>
      <c r="DB630" s="84"/>
      <c r="DE630" s="86"/>
      <c r="DF630" s="84"/>
      <c r="DI630" s="86"/>
      <c r="DJ630" s="84"/>
      <c r="DM630" s="86"/>
      <c r="DN630" s="84"/>
      <c r="DQ630" s="86"/>
      <c r="DR630" s="85"/>
      <c r="DS630" s="85"/>
      <c r="DT630" s="84"/>
      <c r="DV630" s="84"/>
      <c r="DW630" s="157"/>
      <c r="EB630" s="84"/>
      <c r="EG630" s="84"/>
      <c r="EK630" s="84"/>
      <c r="EO630" s="84"/>
      <c r="ES630" s="84"/>
      <c r="EW630" s="84"/>
    </row>
    <row r="631" customFormat="false" ht="12.75" hidden="false" customHeight="false" outlineLevel="0" collapsed="false">
      <c r="A631" s="37"/>
      <c r="E631" s="83"/>
      <c r="J631" s="84"/>
      <c r="N631" s="84"/>
      <c r="R631" s="84"/>
      <c r="V631" s="84"/>
      <c r="Z631" s="84"/>
      <c r="AD631" s="84"/>
      <c r="AH631" s="84"/>
      <c r="AL631" s="84"/>
      <c r="AP631" s="84"/>
      <c r="AT631" s="84"/>
      <c r="AX631" s="84"/>
      <c r="BB631" s="85"/>
      <c r="BC631" s="84"/>
      <c r="BD631" s="84"/>
      <c r="BF631" s="84"/>
      <c r="BL631" s="84"/>
      <c r="BP631" s="86"/>
      <c r="BV631" s="84"/>
      <c r="CA631" s="84"/>
      <c r="CF631" s="84"/>
      <c r="CK631" s="84"/>
      <c r="CP631" s="84"/>
      <c r="CS631" s="86"/>
      <c r="CT631" s="84"/>
      <c r="CW631" s="86"/>
      <c r="CX631" s="84"/>
      <c r="DA631" s="86"/>
      <c r="DB631" s="84"/>
      <c r="DE631" s="86"/>
      <c r="DF631" s="84"/>
      <c r="DI631" s="86"/>
      <c r="DJ631" s="84"/>
      <c r="DM631" s="86"/>
      <c r="DN631" s="84"/>
      <c r="DQ631" s="86"/>
      <c r="DR631" s="85"/>
      <c r="DS631" s="85"/>
      <c r="DT631" s="84"/>
      <c r="DV631" s="84"/>
      <c r="DW631" s="157"/>
      <c r="EB631" s="84"/>
      <c r="EG631" s="84"/>
      <c r="EK631" s="84"/>
      <c r="EO631" s="84"/>
      <c r="ES631" s="84"/>
      <c r="EW631" s="84"/>
    </row>
    <row r="632" customFormat="false" ht="12.75" hidden="false" customHeight="false" outlineLevel="0" collapsed="false">
      <c r="A632" s="37"/>
      <c r="E632" s="83"/>
      <c r="J632" s="84"/>
      <c r="N632" s="84"/>
      <c r="R632" s="84"/>
      <c r="V632" s="84"/>
      <c r="Z632" s="84"/>
      <c r="AD632" s="84"/>
      <c r="AH632" s="84"/>
      <c r="AL632" s="84"/>
      <c r="AP632" s="84"/>
      <c r="AT632" s="84"/>
      <c r="AX632" s="84"/>
      <c r="BB632" s="85"/>
      <c r="BC632" s="84"/>
      <c r="BD632" s="84"/>
      <c r="BF632" s="84"/>
      <c r="BL632" s="84"/>
      <c r="BP632" s="86"/>
      <c r="BV632" s="84"/>
      <c r="CA632" s="84"/>
      <c r="CF632" s="84"/>
      <c r="CK632" s="84"/>
      <c r="CP632" s="84"/>
      <c r="CS632" s="86"/>
      <c r="CT632" s="84"/>
      <c r="CW632" s="86"/>
      <c r="CX632" s="84"/>
      <c r="DA632" s="86"/>
      <c r="DB632" s="84"/>
      <c r="DE632" s="86"/>
      <c r="DF632" s="84"/>
      <c r="DI632" s="86"/>
      <c r="DJ632" s="84"/>
      <c r="DM632" s="86"/>
      <c r="DN632" s="84"/>
      <c r="DQ632" s="86"/>
      <c r="DR632" s="85"/>
      <c r="DS632" s="85"/>
      <c r="DT632" s="84"/>
      <c r="DV632" s="84"/>
      <c r="DW632" s="157"/>
      <c r="EB632" s="84"/>
      <c r="EG632" s="84"/>
      <c r="EK632" s="84"/>
      <c r="EO632" s="84"/>
      <c r="ES632" s="84"/>
      <c r="EW632" s="84"/>
    </row>
    <row r="633" customFormat="false" ht="12.75" hidden="false" customHeight="false" outlineLevel="0" collapsed="false">
      <c r="A633" s="37"/>
      <c r="E633" s="83"/>
      <c r="J633" s="84"/>
      <c r="N633" s="84"/>
      <c r="R633" s="84"/>
      <c r="V633" s="84"/>
      <c r="Z633" s="84"/>
      <c r="AD633" s="84"/>
      <c r="AH633" s="84"/>
      <c r="AL633" s="84"/>
      <c r="AP633" s="84"/>
      <c r="AT633" s="84"/>
      <c r="AX633" s="84"/>
      <c r="BB633" s="85"/>
      <c r="BC633" s="84"/>
      <c r="BD633" s="84"/>
      <c r="BF633" s="84"/>
      <c r="BL633" s="84"/>
      <c r="BP633" s="86"/>
      <c r="BV633" s="84"/>
      <c r="CA633" s="84"/>
      <c r="CF633" s="84"/>
      <c r="CK633" s="84"/>
      <c r="CP633" s="84"/>
      <c r="CS633" s="86"/>
      <c r="CT633" s="84"/>
      <c r="CW633" s="86"/>
      <c r="CX633" s="84"/>
      <c r="DA633" s="86"/>
      <c r="DB633" s="84"/>
      <c r="DE633" s="86"/>
      <c r="DF633" s="84"/>
      <c r="DI633" s="86"/>
      <c r="DJ633" s="84"/>
      <c r="DM633" s="86"/>
      <c r="DN633" s="84"/>
      <c r="DQ633" s="86"/>
      <c r="DR633" s="85"/>
      <c r="DS633" s="85"/>
      <c r="DT633" s="84"/>
      <c r="DV633" s="84"/>
      <c r="DW633" s="157"/>
      <c r="EB633" s="84"/>
      <c r="EG633" s="84"/>
      <c r="EK633" s="84"/>
      <c r="EO633" s="84"/>
      <c r="ES633" s="84"/>
      <c r="EW633" s="84"/>
    </row>
    <row r="634" customFormat="false" ht="12.75" hidden="false" customHeight="false" outlineLevel="0" collapsed="false">
      <c r="A634" s="37"/>
      <c r="E634" s="83"/>
      <c r="J634" s="84"/>
      <c r="N634" s="84"/>
      <c r="R634" s="84"/>
      <c r="V634" s="84"/>
      <c r="Z634" s="84"/>
      <c r="AD634" s="84"/>
      <c r="AH634" s="84"/>
      <c r="AL634" s="84"/>
      <c r="AP634" s="84"/>
      <c r="AT634" s="84"/>
      <c r="AX634" s="84"/>
      <c r="BB634" s="85"/>
      <c r="BC634" s="84"/>
      <c r="BD634" s="84"/>
      <c r="BF634" s="84"/>
      <c r="BL634" s="84"/>
      <c r="BP634" s="86"/>
      <c r="BV634" s="84"/>
      <c r="CA634" s="84"/>
      <c r="CF634" s="84"/>
      <c r="CK634" s="84"/>
      <c r="CP634" s="84"/>
      <c r="CS634" s="86"/>
      <c r="CT634" s="84"/>
      <c r="CW634" s="86"/>
      <c r="CX634" s="84"/>
      <c r="DA634" s="86"/>
      <c r="DB634" s="84"/>
      <c r="DE634" s="86"/>
      <c r="DF634" s="84"/>
      <c r="DI634" s="86"/>
      <c r="DJ634" s="84"/>
      <c r="DM634" s="86"/>
      <c r="DN634" s="84"/>
      <c r="DQ634" s="86"/>
      <c r="DR634" s="85"/>
      <c r="DS634" s="85"/>
      <c r="DT634" s="84"/>
      <c r="DV634" s="84"/>
      <c r="DW634" s="157"/>
      <c r="EB634" s="84"/>
      <c r="EG634" s="84"/>
      <c r="EK634" s="84"/>
      <c r="EO634" s="84"/>
      <c r="ES634" s="84"/>
      <c r="EW634" s="84"/>
    </row>
    <row r="635" customFormat="false" ht="12.75" hidden="false" customHeight="false" outlineLevel="0" collapsed="false">
      <c r="A635" s="37"/>
      <c r="E635" s="83"/>
      <c r="J635" s="84"/>
      <c r="N635" s="84"/>
      <c r="R635" s="84"/>
      <c r="V635" s="84"/>
      <c r="Z635" s="84"/>
      <c r="AD635" s="84"/>
      <c r="AH635" s="84"/>
      <c r="AL635" s="84"/>
      <c r="AP635" s="84"/>
      <c r="AT635" s="84"/>
      <c r="AX635" s="84"/>
      <c r="BB635" s="85"/>
      <c r="BC635" s="84"/>
      <c r="BD635" s="84"/>
      <c r="BF635" s="84"/>
      <c r="BL635" s="84"/>
      <c r="BP635" s="86"/>
      <c r="BV635" s="84"/>
      <c r="CA635" s="84"/>
      <c r="CF635" s="84"/>
      <c r="CK635" s="84"/>
      <c r="CP635" s="84"/>
      <c r="CS635" s="86"/>
      <c r="CT635" s="84"/>
      <c r="CW635" s="86"/>
      <c r="CX635" s="84"/>
      <c r="DA635" s="86"/>
      <c r="DB635" s="84"/>
      <c r="DE635" s="86"/>
      <c r="DF635" s="84"/>
      <c r="DI635" s="86"/>
      <c r="DJ635" s="84"/>
      <c r="DM635" s="86"/>
      <c r="DN635" s="84"/>
      <c r="DQ635" s="86"/>
      <c r="DR635" s="85"/>
      <c r="DS635" s="85"/>
      <c r="DT635" s="84"/>
      <c r="DV635" s="84"/>
      <c r="DW635" s="157"/>
      <c r="EB635" s="84"/>
      <c r="EG635" s="84"/>
      <c r="EK635" s="84"/>
      <c r="EO635" s="84"/>
      <c r="ES635" s="84"/>
      <c r="EW635" s="84"/>
    </row>
    <row r="636" customFormat="false" ht="12.75" hidden="false" customHeight="false" outlineLevel="0" collapsed="false">
      <c r="A636" s="37"/>
      <c r="E636" s="83"/>
      <c r="J636" s="84"/>
      <c r="N636" s="84"/>
      <c r="R636" s="84"/>
      <c r="V636" s="84"/>
      <c r="Z636" s="84"/>
      <c r="AD636" s="84"/>
      <c r="AH636" s="84"/>
      <c r="AL636" s="84"/>
      <c r="AP636" s="84"/>
      <c r="AT636" s="84"/>
      <c r="AX636" s="84"/>
      <c r="BB636" s="85"/>
      <c r="BC636" s="84"/>
      <c r="BD636" s="84"/>
      <c r="BF636" s="84"/>
      <c r="BL636" s="84"/>
      <c r="BP636" s="86"/>
      <c r="BV636" s="84"/>
      <c r="CA636" s="84"/>
      <c r="CF636" s="84"/>
      <c r="CK636" s="84"/>
      <c r="CP636" s="84"/>
      <c r="CS636" s="86"/>
      <c r="CT636" s="84"/>
      <c r="CW636" s="86"/>
      <c r="CX636" s="84"/>
      <c r="DA636" s="86"/>
      <c r="DB636" s="84"/>
      <c r="DE636" s="86"/>
      <c r="DF636" s="84"/>
      <c r="DI636" s="86"/>
      <c r="DJ636" s="84"/>
      <c r="DM636" s="86"/>
      <c r="DN636" s="84"/>
      <c r="DQ636" s="86"/>
      <c r="DR636" s="85"/>
      <c r="DS636" s="85"/>
      <c r="DT636" s="84"/>
      <c r="DV636" s="84"/>
      <c r="DW636" s="157"/>
      <c r="EB636" s="84"/>
      <c r="EG636" s="84"/>
      <c r="EK636" s="84"/>
      <c r="EO636" s="84"/>
      <c r="ES636" s="84"/>
      <c r="EW636" s="84"/>
    </row>
    <row r="637" customFormat="false" ht="12.75" hidden="false" customHeight="false" outlineLevel="0" collapsed="false">
      <c r="A637" s="37"/>
      <c r="E637" s="83"/>
      <c r="J637" s="84"/>
      <c r="N637" s="84"/>
      <c r="R637" s="84"/>
      <c r="V637" s="84"/>
      <c r="Z637" s="84"/>
      <c r="AD637" s="84"/>
      <c r="AH637" s="84"/>
      <c r="AL637" s="84"/>
      <c r="AP637" s="84"/>
      <c r="AT637" s="84"/>
      <c r="AX637" s="84"/>
      <c r="BB637" s="85"/>
      <c r="BC637" s="84"/>
      <c r="BD637" s="84"/>
      <c r="BF637" s="84"/>
      <c r="BL637" s="84"/>
      <c r="BP637" s="86"/>
      <c r="BV637" s="84"/>
      <c r="CA637" s="84"/>
      <c r="CF637" s="84"/>
      <c r="CK637" s="84"/>
      <c r="CP637" s="84"/>
      <c r="CS637" s="86"/>
      <c r="CT637" s="84"/>
      <c r="CW637" s="86"/>
      <c r="CX637" s="84"/>
      <c r="DA637" s="86"/>
      <c r="DB637" s="84"/>
      <c r="DE637" s="86"/>
      <c r="DF637" s="84"/>
      <c r="DI637" s="86"/>
      <c r="DJ637" s="84"/>
      <c r="DM637" s="86"/>
      <c r="DN637" s="84"/>
      <c r="DQ637" s="86"/>
      <c r="DR637" s="85"/>
      <c r="DS637" s="85"/>
      <c r="DT637" s="84"/>
      <c r="DV637" s="84"/>
      <c r="DW637" s="157"/>
      <c r="EB637" s="84"/>
      <c r="EG637" s="84"/>
      <c r="EK637" s="84"/>
      <c r="EO637" s="84"/>
      <c r="ES637" s="84"/>
      <c r="EW637" s="84"/>
    </row>
    <row r="638" customFormat="false" ht="12.75" hidden="false" customHeight="false" outlineLevel="0" collapsed="false">
      <c r="A638" s="37"/>
      <c r="E638" s="83"/>
      <c r="J638" s="84"/>
      <c r="N638" s="84"/>
      <c r="R638" s="84"/>
      <c r="V638" s="84"/>
      <c r="Z638" s="84"/>
      <c r="AD638" s="84"/>
      <c r="AH638" s="84"/>
      <c r="AL638" s="84"/>
      <c r="AP638" s="84"/>
      <c r="AT638" s="84"/>
      <c r="AX638" s="84"/>
      <c r="BB638" s="85"/>
      <c r="BC638" s="84"/>
      <c r="BD638" s="84"/>
      <c r="BF638" s="84"/>
      <c r="BL638" s="84"/>
      <c r="BP638" s="86"/>
      <c r="BV638" s="84"/>
      <c r="CA638" s="84"/>
      <c r="CF638" s="84"/>
      <c r="CK638" s="84"/>
      <c r="CP638" s="84"/>
      <c r="CS638" s="86"/>
      <c r="CT638" s="84"/>
      <c r="CW638" s="86"/>
      <c r="CX638" s="84"/>
      <c r="DA638" s="86"/>
      <c r="DB638" s="84"/>
      <c r="DE638" s="86"/>
      <c r="DF638" s="84"/>
      <c r="DI638" s="86"/>
      <c r="DJ638" s="84"/>
      <c r="DM638" s="86"/>
      <c r="DN638" s="84"/>
      <c r="DQ638" s="86"/>
      <c r="DR638" s="85"/>
      <c r="DS638" s="85"/>
      <c r="DT638" s="84"/>
      <c r="DV638" s="84"/>
      <c r="DW638" s="157"/>
      <c r="EB638" s="84"/>
      <c r="EG638" s="84"/>
      <c r="EK638" s="84"/>
      <c r="EO638" s="84"/>
      <c r="ES638" s="84"/>
      <c r="EW638" s="84"/>
    </row>
    <row r="639" customFormat="false" ht="12.75" hidden="false" customHeight="false" outlineLevel="0" collapsed="false">
      <c r="A639" s="37"/>
      <c r="E639" s="83"/>
      <c r="J639" s="84"/>
      <c r="N639" s="84"/>
      <c r="R639" s="84"/>
      <c r="V639" s="84"/>
      <c r="Z639" s="84"/>
      <c r="AD639" s="84"/>
      <c r="AH639" s="84"/>
      <c r="AL639" s="84"/>
      <c r="AP639" s="84"/>
      <c r="AT639" s="84"/>
      <c r="AX639" s="84"/>
      <c r="BB639" s="85"/>
      <c r="BC639" s="84"/>
      <c r="BD639" s="84"/>
      <c r="BF639" s="84"/>
      <c r="BL639" s="84"/>
      <c r="BP639" s="86"/>
      <c r="BV639" s="84"/>
      <c r="CA639" s="84"/>
      <c r="CF639" s="84"/>
      <c r="CK639" s="84"/>
      <c r="CP639" s="84"/>
      <c r="CS639" s="86"/>
      <c r="CT639" s="84"/>
      <c r="CW639" s="86"/>
      <c r="CX639" s="84"/>
      <c r="DA639" s="86"/>
      <c r="DB639" s="84"/>
      <c r="DE639" s="86"/>
      <c r="DF639" s="84"/>
      <c r="DI639" s="86"/>
      <c r="DJ639" s="84"/>
      <c r="DM639" s="86"/>
      <c r="DN639" s="84"/>
      <c r="DQ639" s="86"/>
      <c r="DR639" s="85"/>
      <c r="DS639" s="85"/>
      <c r="DT639" s="84"/>
      <c r="DV639" s="84"/>
      <c r="DW639" s="157"/>
      <c r="EB639" s="84"/>
      <c r="EG639" s="84"/>
      <c r="EK639" s="84"/>
      <c r="EO639" s="84"/>
      <c r="ES639" s="84"/>
      <c r="EW639" s="84"/>
    </row>
    <row r="640" customFormat="false" ht="12.75" hidden="false" customHeight="false" outlineLevel="0" collapsed="false">
      <c r="A640" s="37"/>
      <c r="E640" s="83"/>
      <c r="J640" s="84"/>
      <c r="N640" s="84"/>
      <c r="R640" s="84"/>
      <c r="V640" s="84"/>
      <c r="Z640" s="84"/>
      <c r="AD640" s="84"/>
      <c r="AH640" s="84"/>
      <c r="AL640" s="84"/>
      <c r="AP640" s="84"/>
      <c r="AT640" s="84"/>
      <c r="AX640" s="84"/>
      <c r="BB640" s="85"/>
      <c r="BC640" s="84"/>
      <c r="BD640" s="84"/>
      <c r="BF640" s="84"/>
      <c r="BL640" s="84"/>
      <c r="BP640" s="86"/>
      <c r="BV640" s="84"/>
      <c r="CA640" s="84"/>
      <c r="CF640" s="84"/>
      <c r="CK640" s="84"/>
      <c r="CP640" s="84"/>
      <c r="CS640" s="86"/>
      <c r="CT640" s="84"/>
      <c r="CW640" s="86"/>
      <c r="CX640" s="84"/>
      <c r="DA640" s="86"/>
      <c r="DB640" s="84"/>
      <c r="DE640" s="86"/>
      <c r="DF640" s="84"/>
      <c r="DI640" s="86"/>
      <c r="DJ640" s="84"/>
      <c r="DM640" s="86"/>
      <c r="DN640" s="84"/>
      <c r="DQ640" s="86"/>
      <c r="DR640" s="85"/>
      <c r="DS640" s="85"/>
      <c r="DT640" s="84"/>
      <c r="DV640" s="84"/>
      <c r="DW640" s="157"/>
      <c r="EB640" s="84"/>
      <c r="EG640" s="84"/>
      <c r="EK640" s="84"/>
      <c r="EO640" s="84"/>
      <c r="ES640" s="84"/>
      <c r="EW640" s="84"/>
    </row>
    <row r="641" customFormat="false" ht="12.75" hidden="false" customHeight="false" outlineLevel="0" collapsed="false">
      <c r="A641" s="37"/>
      <c r="E641" s="83"/>
      <c r="J641" s="84"/>
      <c r="N641" s="84"/>
      <c r="R641" s="84"/>
      <c r="V641" s="84"/>
      <c r="Z641" s="84"/>
      <c r="AD641" s="84"/>
      <c r="AH641" s="84"/>
      <c r="AL641" s="84"/>
      <c r="AP641" s="84"/>
      <c r="AT641" s="84"/>
      <c r="AX641" s="84"/>
      <c r="BB641" s="85"/>
      <c r="BC641" s="84"/>
      <c r="BD641" s="84"/>
      <c r="BF641" s="84"/>
      <c r="BL641" s="84"/>
      <c r="BP641" s="86"/>
      <c r="BV641" s="84"/>
      <c r="CA641" s="84"/>
      <c r="CF641" s="84"/>
      <c r="CK641" s="84"/>
      <c r="CP641" s="84"/>
      <c r="CS641" s="86"/>
      <c r="CT641" s="84"/>
      <c r="CW641" s="86"/>
      <c r="CX641" s="84"/>
      <c r="DA641" s="86"/>
      <c r="DB641" s="84"/>
      <c r="DE641" s="86"/>
      <c r="DF641" s="84"/>
      <c r="DI641" s="86"/>
      <c r="DJ641" s="84"/>
      <c r="DM641" s="86"/>
      <c r="DN641" s="84"/>
      <c r="DQ641" s="86"/>
      <c r="DR641" s="85"/>
      <c r="DS641" s="85"/>
      <c r="DT641" s="84"/>
      <c r="DV641" s="84"/>
      <c r="DW641" s="157"/>
      <c r="EB641" s="84"/>
      <c r="EG641" s="84"/>
      <c r="EK641" s="84"/>
      <c r="EO641" s="84"/>
      <c r="ES641" s="84"/>
      <c r="EW641" s="84"/>
    </row>
    <row r="642" customFormat="false" ht="12.75" hidden="false" customHeight="false" outlineLevel="0" collapsed="false">
      <c r="A642" s="37"/>
      <c r="E642" s="83"/>
      <c r="J642" s="84"/>
      <c r="N642" s="84"/>
      <c r="R642" s="84"/>
      <c r="V642" s="84"/>
      <c r="Z642" s="84"/>
      <c r="AD642" s="84"/>
      <c r="AH642" s="84"/>
      <c r="AL642" s="84"/>
      <c r="AP642" s="84"/>
      <c r="AT642" s="84"/>
      <c r="AX642" s="84"/>
      <c r="BB642" s="85"/>
      <c r="BC642" s="84"/>
      <c r="BD642" s="84"/>
      <c r="BF642" s="84"/>
      <c r="BL642" s="84"/>
      <c r="BP642" s="86"/>
      <c r="BV642" s="84"/>
      <c r="CA642" s="84"/>
      <c r="CF642" s="84"/>
      <c r="CK642" s="84"/>
      <c r="CP642" s="84"/>
      <c r="CS642" s="86"/>
      <c r="CT642" s="84"/>
      <c r="CW642" s="86"/>
      <c r="CX642" s="84"/>
      <c r="DA642" s="86"/>
      <c r="DB642" s="84"/>
      <c r="DE642" s="86"/>
      <c r="DF642" s="84"/>
      <c r="DI642" s="86"/>
      <c r="DJ642" s="84"/>
      <c r="DM642" s="86"/>
      <c r="DN642" s="84"/>
      <c r="DQ642" s="86"/>
      <c r="DR642" s="85"/>
      <c r="DS642" s="85"/>
      <c r="DT642" s="84"/>
      <c r="DV642" s="84"/>
      <c r="DW642" s="157"/>
      <c r="EB642" s="84"/>
      <c r="EG642" s="84"/>
      <c r="EK642" s="84"/>
      <c r="EO642" s="84"/>
      <c r="ES642" s="84"/>
      <c r="EW642" s="84"/>
    </row>
    <row r="643" customFormat="false" ht="12.75" hidden="false" customHeight="false" outlineLevel="0" collapsed="false">
      <c r="A643" s="37"/>
      <c r="E643" s="83"/>
      <c r="J643" s="84"/>
      <c r="N643" s="84"/>
      <c r="R643" s="84"/>
      <c r="V643" s="84"/>
      <c r="Z643" s="84"/>
      <c r="AD643" s="84"/>
      <c r="AH643" s="84"/>
      <c r="AL643" s="84"/>
      <c r="AP643" s="84"/>
      <c r="AT643" s="84"/>
      <c r="AX643" s="84"/>
      <c r="BB643" s="85"/>
      <c r="BC643" s="84"/>
      <c r="BD643" s="84"/>
      <c r="BF643" s="84"/>
      <c r="BL643" s="84"/>
      <c r="BP643" s="86"/>
      <c r="BV643" s="84"/>
      <c r="CA643" s="84"/>
      <c r="CF643" s="84"/>
      <c r="CK643" s="84"/>
      <c r="CP643" s="84"/>
      <c r="CS643" s="86"/>
      <c r="CT643" s="84"/>
      <c r="CW643" s="86"/>
      <c r="CX643" s="84"/>
      <c r="DA643" s="86"/>
      <c r="DB643" s="84"/>
      <c r="DE643" s="86"/>
      <c r="DF643" s="84"/>
      <c r="DI643" s="86"/>
      <c r="DJ643" s="84"/>
      <c r="DM643" s="86"/>
      <c r="DN643" s="84"/>
      <c r="DQ643" s="86"/>
      <c r="DR643" s="85"/>
      <c r="DS643" s="85"/>
      <c r="DT643" s="84"/>
      <c r="DV643" s="84"/>
      <c r="DW643" s="157"/>
      <c r="EB643" s="84"/>
      <c r="EG643" s="84"/>
      <c r="EK643" s="84"/>
      <c r="EO643" s="84"/>
      <c r="ES643" s="84"/>
      <c r="EW643" s="84"/>
    </row>
    <row r="644" customFormat="false" ht="12.75" hidden="false" customHeight="false" outlineLevel="0" collapsed="false">
      <c r="A644" s="37"/>
      <c r="E644" s="83"/>
      <c r="J644" s="84"/>
      <c r="N644" s="84"/>
      <c r="R644" s="84"/>
      <c r="V644" s="84"/>
      <c r="Z644" s="84"/>
      <c r="AD644" s="84"/>
      <c r="AH644" s="84"/>
      <c r="AL644" s="84"/>
      <c r="AP644" s="84"/>
      <c r="AT644" s="84"/>
      <c r="AX644" s="84"/>
      <c r="BB644" s="85"/>
      <c r="BC644" s="84"/>
      <c r="BD644" s="84"/>
      <c r="BF644" s="84"/>
      <c r="BL644" s="84"/>
      <c r="BP644" s="86"/>
      <c r="BV644" s="84"/>
      <c r="CA644" s="84"/>
      <c r="CF644" s="84"/>
      <c r="CK644" s="84"/>
      <c r="CP644" s="84"/>
      <c r="CS644" s="86"/>
      <c r="CT644" s="84"/>
      <c r="CW644" s="86"/>
      <c r="CX644" s="84"/>
      <c r="DA644" s="86"/>
      <c r="DB644" s="84"/>
      <c r="DE644" s="86"/>
      <c r="DF644" s="84"/>
      <c r="DI644" s="86"/>
      <c r="DJ644" s="84"/>
      <c r="DM644" s="86"/>
      <c r="DN644" s="84"/>
      <c r="DQ644" s="86"/>
      <c r="DR644" s="85"/>
      <c r="DS644" s="85"/>
      <c r="DT644" s="84"/>
      <c r="DV644" s="84"/>
      <c r="DW644" s="157"/>
      <c r="EB644" s="84"/>
      <c r="EG644" s="84"/>
      <c r="EK644" s="84"/>
      <c r="EO644" s="84"/>
      <c r="ES644" s="84"/>
      <c r="EW644" s="84"/>
    </row>
    <row r="645" customFormat="false" ht="12.75" hidden="false" customHeight="false" outlineLevel="0" collapsed="false">
      <c r="A645" s="37"/>
      <c r="E645" s="83"/>
      <c r="J645" s="84"/>
      <c r="N645" s="84"/>
      <c r="R645" s="84"/>
      <c r="V645" s="84"/>
      <c r="Z645" s="84"/>
      <c r="AD645" s="84"/>
      <c r="AH645" s="84"/>
      <c r="AL645" s="84"/>
      <c r="AP645" s="84"/>
      <c r="AT645" s="84"/>
      <c r="AX645" s="84"/>
      <c r="BB645" s="85"/>
      <c r="BC645" s="84"/>
      <c r="BD645" s="84"/>
      <c r="BF645" s="84"/>
      <c r="BL645" s="84"/>
      <c r="BP645" s="86"/>
      <c r="BV645" s="84"/>
      <c r="CA645" s="84"/>
      <c r="CF645" s="84"/>
      <c r="CK645" s="84"/>
      <c r="CP645" s="84"/>
      <c r="CS645" s="86"/>
      <c r="CT645" s="84"/>
      <c r="CW645" s="86"/>
      <c r="CX645" s="84"/>
      <c r="DA645" s="86"/>
      <c r="DB645" s="84"/>
      <c r="DE645" s="86"/>
      <c r="DF645" s="84"/>
      <c r="DI645" s="86"/>
      <c r="DJ645" s="84"/>
      <c r="DM645" s="86"/>
      <c r="DN645" s="84"/>
      <c r="DQ645" s="86"/>
      <c r="DR645" s="85"/>
      <c r="DS645" s="85"/>
      <c r="DT645" s="84"/>
      <c r="DV645" s="84"/>
      <c r="DW645" s="157"/>
      <c r="EB645" s="84"/>
      <c r="EG645" s="84"/>
      <c r="EK645" s="84"/>
      <c r="EO645" s="84"/>
      <c r="ES645" s="84"/>
      <c r="EW645" s="84"/>
    </row>
    <row r="646" customFormat="false" ht="12.75" hidden="false" customHeight="false" outlineLevel="0" collapsed="false">
      <c r="A646" s="37"/>
      <c r="E646" s="83"/>
      <c r="J646" s="84"/>
      <c r="N646" s="84"/>
      <c r="R646" s="84"/>
      <c r="V646" s="84"/>
      <c r="Z646" s="84"/>
      <c r="AD646" s="84"/>
      <c r="AH646" s="84"/>
      <c r="AL646" s="84"/>
      <c r="AP646" s="84"/>
      <c r="AT646" s="84"/>
      <c r="AX646" s="84"/>
      <c r="BB646" s="85"/>
      <c r="BC646" s="84"/>
      <c r="BD646" s="84"/>
      <c r="BF646" s="84"/>
      <c r="BL646" s="84"/>
      <c r="BP646" s="86"/>
      <c r="BV646" s="84"/>
      <c r="CA646" s="84"/>
      <c r="CF646" s="84"/>
      <c r="CK646" s="84"/>
      <c r="CP646" s="84"/>
      <c r="CS646" s="86"/>
      <c r="CT646" s="84"/>
      <c r="CW646" s="86"/>
      <c r="CX646" s="84"/>
      <c r="DA646" s="86"/>
      <c r="DB646" s="84"/>
      <c r="DE646" s="86"/>
      <c r="DF646" s="84"/>
      <c r="DI646" s="86"/>
      <c r="DJ646" s="84"/>
      <c r="DM646" s="86"/>
      <c r="DN646" s="84"/>
      <c r="DQ646" s="86"/>
      <c r="DR646" s="85"/>
      <c r="DS646" s="85"/>
      <c r="DT646" s="84"/>
      <c r="DV646" s="84"/>
      <c r="DW646" s="157"/>
      <c r="EB646" s="84"/>
      <c r="EG646" s="84"/>
      <c r="EK646" s="84"/>
      <c r="EO646" s="84"/>
      <c r="ES646" s="84"/>
      <c r="EW646" s="84"/>
    </row>
    <row r="647" customFormat="false" ht="12.75" hidden="false" customHeight="false" outlineLevel="0" collapsed="false">
      <c r="A647" s="37"/>
      <c r="E647" s="83"/>
      <c r="J647" s="84"/>
      <c r="N647" s="84"/>
      <c r="R647" s="84"/>
      <c r="V647" s="84"/>
      <c r="Z647" s="84"/>
      <c r="AD647" s="84"/>
      <c r="AH647" s="84"/>
      <c r="AL647" s="84"/>
      <c r="AP647" s="84"/>
      <c r="AT647" s="84"/>
      <c r="AX647" s="84"/>
      <c r="BB647" s="85"/>
      <c r="BC647" s="84"/>
      <c r="BD647" s="84"/>
      <c r="BF647" s="84"/>
      <c r="BL647" s="84"/>
      <c r="BP647" s="86"/>
      <c r="BV647" s="84"/>
      <c r="CA647" s="84"/>
      <c r="CF647" s="84"/>
      <c r="CK647" s="84"/>
      <c r="CP647" s="84"/>
      <c r="CS647" s="86"/>
      <c r="CT647" s="84"/>
      <c r="CW647" s="86"/>
      <c r="CX647" s="84"/>
      <c r="DA647" s="86"/>
      <c r="DB647" s="84"/>
      <c r="DE647" s="86"/>
      <c r="DF647" s="84"/>
      <c r="DI647" s="86"/>
      <c r="DJ647" s="84"/>
      <c r="DM647" s="86"/>
      <c r="DN647" s="84"/>
      <c r="DQ647" s="86"/>
      <c r="DR647" s="85"/>
      <c r="DS647" s="85"/>
      <c r="DT647" s="84"/>
      <c r="DV647" s="84"/>
      <c r="DW647" s="157"/>
      <c r="EB647" s="84"/>
      <c r="EG647" s="84"/>
      <c r="EK647" s="84"/>
      <c r="EO647" s="84"/>
      <c r="ES647" s="84"/>
      <c r="EW647" s="84"/>
    </row>
    <row r="648" customFormat="false" ht="12.75" hidden="false" customHeight="false" outlineLevel="0" collapsed="false">
      <c r="A648" s="37"/>
      <c r="E648" s="83"/>
      <c r="J648" s="84"/>
      <c r="N648" s="84"/>
      <c r="R648" s="84"/>
      <c r="V648" s="84"/>
      <c r="Z648" s="84"/>
      <c r="AD648" s="84"/>
      <c r="AH648" s="84"/>
      <c r="AL648" s="84"/>
      <c r="AP648" s="84"/>
      <c r="AT648" s="84"/>
      <c r="AX648" s="84"/>
      <c r="BB648" s="85"/>
      <c r="BC648" s="84"/>
      <c r="BD648" s="84"/>
      <c r="BF648" s="84"/>
      <c r="BL648" s="84"/>
      <c r="BP648" s="86"/>
      <c r="BV648" s="84"/>
      <c r="CA648" s="84"/>
      <c r="CF648" s="84"/>
      <c r="CK648" s="84"/>
      <c r="CP648" s="84"/>
      <c r="CS648" s="86"/>
      <c r="CT648" s="84"/>
      <c r="CW648" s="86"/>
      <c r="CX648" s="84"/>
      <c r="DA648" s="86"/>
      <c r="DB648" s="84"/>
      <c r="DE648" s="86"/>
      <c r="DF648" s="84"/>
      <c r="DI648" s="86"/>
      <c r="DJ648" s="84"/>
      <c r="DM648" s="86"/>
      <c r="DN648" s="84"/>
      <c r="DQ648" s="86"/>
      <c r="DR648" s="85"/>
      <c r="DS648" s="85"/>
      <c r="DT648" s="84"/>
      <c r="DV648" s="84"/>
      <c r="DW648" s="157"/>
      <c r="EB648" s="84"/>
      <c r="EG648" s="84"/>
      <c r="EK648" s="84"/>
      <c r="EO648" s="84"/>
      <c r="ES648" s="84"/>
      <c r="EW648" s="84"/>
    </row>
    <row r="649" customFormat="false" ht="12.75" hidden="false" customHeight="false" outlineLevel="0" collapsed="false">
      <c r="A649" s="37"/>
      <c r="E649" s="83"/>
      <c r="J649" s="84"/>
      <c r="N649" s="84"/>
      <c r="R649" s="84"/>
      <c r="V649" s="84"/>
      <c r="Z649" s="84"/>
      <c r="AD649" s="84"/>
      <c r="AH649" s="84"/>
      <c r="AL649" s="84"/>
      <c r="AP649" s="84"/>
      <c r="AT649" s="84"/>
      <c r="AX649" s="84"/>
      <c r="BB649" s="85"/>
      <c r="BC649" s="84"/>
      <c r="BD649" s="84"/>
      <c r="BF649" s="84"/>
      <c r="BL649" s="84"/>
      <c r="BP649" s="86"/>
      <c r="BV649" s="84"/>
      <c r="CA649" s="84"/>
      <c r="CF649" s="84"/>
      <c r="CK649" s="84"/>
      <c r="CP649" s="84"/>
      <c r="CS649" s="86"/>
      <c r="CT649" s="84"/>
      <c r="CW649" s="86"/>
      <c r="CX649" s="84"/>
      <c r="DA649" s="86"/>
      <c r="DB649" s="84"/>
      <c r="DE649" s="86"/>
      <c r="DF649" s="84"/>
      <c r="DI649" s="86"/>
      <c r="DJ649" s="84"/>
      <c r="DM649" s="86"/>
      <c r="DN649" s="84"/>
      <c r="DQ649" s="86"/>
      <c r="DR649" s="85"/>
      <c r="DS649" s="85"/>
      <c r="DT649" s="84"/>
      <c r="DV649" s="84"/>
      <c r="DW649" s="157"/>
      <c r="EB649" s="84"/>
      <c r="EG649" s="84"/>
      <c r="EK649" s="84"/>
      <c r="EO649" s="84"/>
      <c r="ES649" s="84"/>
      <c r="EW649" s="84"/>
    </row>
    <row r="650" customFormat="false" ht="12.75" hidden="false" customHeight="false" outlineLevel="0" collapsed="false">
      <c r="A650" s="37"/>
      <c r="E650" s="83"/>
      <c r="J650" s="84"/>
      <c r="N650" s="84"/>
      <c r="R650" s="84"/>
      <c r="V650" s="84"/>
      <c r="Z650" s="84"/>
      <c r="AD650" s="84"/>
      <c r="AH650" s="84"/>
      <c r="AL650" s="84"/>
      <c r="AP650" s="84"/>
      <c r="AT650" s="84"/>
      <c r="AX650" s="84"/>
      <c r="BB650" s="85"/>
      <c r="BC650" s="84"/>
      <c r="BD650" s="84"/>
      <c r="BF650" s="84"/>
      <c r="BL650" s="84"/>
      <c r="BP650" s="86"/>
      <c r="BV650" s="84"/>
      <c r="CA650" s="84"/>
      <c r="CF650" s="84"/>
      <c r="CK650" s="84"/>
      <c r="CP650" s="84"/>
      <c r="CS650" s="86"/>
      <c r="CT650" s="84"/>
      <c r="CW650" s="86"/>
      <c r="CX650" s="84"/>
      <c r="DA650" s="86"/>
      <c r="DB650" s="84"/>
      <c r="DE650" s="86"/>
      <c r="DF650" s="84"/>
      <c r="DI650" s="86"/>
      <c r="DJ650" s="84"/>
      <c r="DM650" s="86"/>
      <c r="DN650" s="84"/>
      <c r="DQ650" s="86"/>
      <c r="DR650" s="85"/>
      <c r="DS650" s="85"/>
      <c r="DT650" s="84"/>
      <c r="DV650" s="84"/>
      <c r="DW650" s="157"/>
      <c r="EB650" s="84"/>
      <c r="EG650" s="84"/>
      <c r="EK650" s="84"/>
      <c r="EO650" s="84"/>
      <c r="ES650" s="84"/>
      <c r="EW650" s="84"/>
    </row>
    <row r="651" customFormat="false" ht="12.75" hidden="false" customHeight="false" outlineLevel="0" collapsed="false">
      <c r="A651" s="37"/>
      <c r="E651" s="83"/>
      <c r="J651" s="84"/>
      <c r="N651" s="84"/>
      <c r="R651" s="84"/>
      <c r="V651" s="84"/>
      <c r="Z651" s="84"/>
      <c r="AD651" s="84"/>
      <c r="AH651" s="84"/>
      <c r="AL651" s="84"/>
      <c r="AP651" s="84"/>
      <c r="AT651" s="84"/>
      <c r="AX651" s="84"/>
      <c r="BB651" s="85"/>
      <c r="BC651" s="84"/>
      <c r="BD651" s="84"/>
      <c r="BF651" s="84"/>
      <c r="BL651" s="84"/>
      <c r="BP651" s="86"/>
      <c r="BV651" s="84"/>
      <c r="CA651" s="84"/>
      <c r="CF651" s="84"/>
      <c r="CK651" s="84"/>
      <c r="CP651" s="84"/>
      <c r="CS651" s="86"/>
      <c r="CT651" s="84"/>
      <c r="CW651" s="86"/>
      <c r="CX651" s="84"/>
      <c r="DA651" s="86"/>
      <c r="DB651" s="84"/>
      <c r="DE651" s="86"/>
      <c r="DF651" s="84"/>
      <c r="DI651" s="86"/>
      <c r="DJ651" s="84"/>
      <c r="DM651" s="86"/>
      <c r="DN651" s="84"/>
      <c r="DQ651" s="86"/>
      <c r="DR651" s="85"/>
      <c r="DS651" s="85"/>
      <c r="DT651" s="84"/>
      <c r="DV651" s="84"/>
      <c r="DW651" s="157"/>
      <c r="EB651" s="84"/>
      <c r="EG651" s="84"/>
      <c r="EK651" s="84"/>
      <c r="EO651" s="84"/>
      <c r="ES651" s="84"/>
      <c r="EW651" s="84"/>
    </row>
    <row r="652" customFormat="false" ht="12.75" hidden="false" customHeight="false" outlineLevel="0" collapsed="false">
      <c r="A652" s="37"/>
      <c r="E652" s="83"/>
      <c r="J652" s="84"/>
      <c r="N652" s="84"/>
      <c r="R652" s="84"/>
      <c r="V652" s="84"/>
      <c r="Z652" s="84"/>
      <c r="AD652" s="84"/>
      <c r="AH652" s="84"/>
      <c r="AL652" s="84"/>
      <c r="AP652" s="84"/>
      <c r="AT652" s="84"/>
      <c r="AX652" s="84"/>
      <c r="BB652" s="85"/>
      <c r="BC652" s="84"/>
      <c r="BD652" s="84"/>
      <c r="BF652" s="84"/>
      <c r="BL652" s="84"/>
      <c r="BP652" s="86"/>
      <c r="BV652" s="84"/>
      <c r="CA652" s="84"/>
      <c r="CF652" s="84"/>
      <c r="CK652" s="84"/>
      <c r="CP652" s="84"/>
      <c r="CS652" s="86"/>
      <c r="CT652" s="84"/>
      <c r="CW652" s="86"/>
      <c r="CX652" s="84"/>
      <c r="DA652" s="86"/>
      <c r="DB652" s="84"/>
      <c r="DE652" s="86"/>
      <c r="DF652" s="84"/>
      <c r="DI652" s="86"/>
      <c r="DJ652" s="84"/>
      <c r="DM652" s="86"/>
      <c r="DN652" s="84"/>
      <c r="DQ652" s="86"/>
      <c r="DR652" s="85"/>
      <c r="DS652" s="85"/>
      <c r="DT652" s="84"/>
      <c r="DV652" s="84"/>
      <c r="DW652" s="157"/>
      <c r="EB652" s="84"/>
      <c r="EG652" s="84"/>
      <c r="EK652" s="84"/>
      <c r="EO652" s="84"/>
      <c r="ES652" s="84"/>
      <c r="EW652" s="84"/>
    </row>
    <row r="653" customFormat="false" ht="12.75" hidden="false" customHeight="false" outlineLevel="0" collapsed="false">
      <c r="A653" s="37"/>
      <c r="E653" s="83"/>
      <c r="J653" s="84"/>
      <c r="N653" s="84"/>
      <c r="R653" s="84"/>
      <c r="V653" s="84"/>
      <c r="Z653" s="84"/>
      <c r="AD653" s="84"/>
      <c r="AH653" s="84"/>
      <c r="AL653" s="84"/>
      <c r="AP653" s="84"/>
      <c r="AT653" s="84"/>
      <c r="AX653" s="84"/>
      <c r="BB653" s="85"/>
      <c r="BC653" s="84"/>
      <c r="BD653" s="84"/>
      <c r="BF653" s="84"/>
      <c r="BL653" s="84"/>
      <c r="BP653" s="86"/>
      <c r="BV653" s="84"/>
      <c r="CA653" s="84"/>
      <c r="CF653" s="84"/>
      <c r="CK653" s="84"/>
      <c r="CP653" s="84"/>
      <c r="CS653" s="86"/>
      <c r="CT653" s="84"/>
      <c r="CW653" s="86"/>
      <c r="CX653" s="84"/>
      <c r="DA653" s="86"/>
      <c r="DB653" s="84"/>
      <c r="DE653" s="86"/>
      <c r="DF653" s="84"/>
      <c r="DI653" s="86"/>
      <c r="DJ653" s="84"/>
      <c r="DM653" s="86"/>
      <c r="DN653" s="84"/>
      <c r="DQ653" s="86"/>
      <c r="DR653" s="85"/>
      <c r="DS653" s="85"/>
      <c r="DT653" s="84"/>
      <c r="DV653" s="84"/>
      <c r="DW653" s="157"/>
      <c r="EB653" s="84"/>
      <c r="EG653" s="84"/>
      <c r="EK653" s="84"/>
      <c r="EO653" s="84"/>
      <c r="ES653" s="84"/>
      <c r="EW653" s="84"/>
    </row>
    <row r="654" customFormat="false" ht="12.75" hidden="false" customHeight="false" outlineLevel="0" collapsed="false">
      <c r="A654" s="37"/>
      <c r="E654" s="83"/>
      <c r="J654" s="84"/>
      <c r="N654" s="84"/>
      <c r="R654" s="84"/>
      <c r="V654" s="84"/>
      <c r="Z654" s="84"/>
      <c r="AD654" s="84"/>
      <c r="AH654" s="84"/>
      <c r="AL654" s="84"/>
      <c r="AP654" s="84"/>
      <c r="AT654" s="84"/>
      <c r="AX654" s="84"/>
      <c r="BB654" s="85"/>
      <c r="BC654" s="84"/>
      <c r="BD654" s="84"/>
      <c r="BF654" s="84"/>
      <c r="BL654" s="84"/>
      <c r="BP654" s="86"/>
      <c r="BV654" s="84"/>
      <c r="CA654" s="84"/>
      <c r="CF654" s="84"/>
      <c r="CK654" s="84"/>
      <c r="CP654" s="84"/>
      <c r="CS654" s="86"/>
      <c r="CT654" s="84"/>
      <c r="CW654" s="86"/>
      <c r="CX654" s="84"/>
      <c r="DA654" s="86"/>
      <c r="DB654" s="84"/>
      <c r="DE654" s="86"/>
      <c r="DF654" s="84"/>
      <c r="DI654" s="86"/>
      <c r="DJ654" s="84"/>
      <c r="DM654" s="86"/>
      <c r="DN654" s="84"/>
      <c r="DQ654" s="86"/>
      <c r="DR654" s="85"/>
      <c r="DS654" s="85"/>
      <c r="DT654" s="84"/>
      <c r="DV654" s="84"/>
      <c r="DW654" s="157"/>
      <c r="EB654" s="84"/>
      <c r="EG654" s="84"/>
      <c r="EK654" s="84"/>
      <c r="EO654" s="84"/>
      <c r="ES654" s="84"/>
      <c r="EW654" s="84"/>
    </row>
    <row r="655" customFormat="false" ht="12.75" hidden="false" customHeight="false" outlineLevel="0" collapsed="false">
      <c r="A655" s="37"/>
      <c r="E655" s="83"/>
      <c r="J655" s="84"/>
      <c r="N655" s="84"/>
      <c r="R655" s="84"/>
      <c r="V655" s="84"/>
      <c r="Z655" s="84"/>
      <c r="AD655" s="84"/>
      <c r="AH655" s="84"/>
      <c r="AL655" s="84"/>
      <c r="AP655" s="84"/>
      <c r="AT655" s="84"/>
      <c r="AX655" s="84"/>
      <c r="BB655" s="85"/>
      <c r="BC655" s="84"/>
      <c r="BD655" s="84"/>
      <c r="BF655" s="84"/>
      <c r="BL655" s="84"/>
      <c r="BP655" s="86"/>
      <c r="BV655" s="84"/>
      <c r="CA655" s="84"/>
      <c r="CF655" s="84"/>
      <c r="CK655" s="84"/>
      <c r="CP655" s="84"/>
      <c r="CS655" s="86"/>
      <c r="CT655" s="84"/>
      <c r="CW655" s="86"/>
      <c r="CX655" s="84"/>
      <c r="DA655" s="86"/>
      <c r="DB655" s="84"/>
      <c r="DE655" s="86"/>
      <c r="DF655" s="84"/>
      <c r="DI655" s="86"/>
      <c r="DJ655" s="84"/>
      <c r="DM655" s="86"/>
      <c r="DN655" s="84"/>
      <c r="DQ655" s="86"/>
      <c r="DR655" s="85"/>
      <c r="DS655" s="85"/>
      <c r="DT655" s="84"/>
      <c r="DV655" s="84"/>
      <c r="DW655" s="157"/>
      <c r="EB655" s="84"/>
      <c r="EG655" s="84"/>
      <c r="EK655" s="84"/>
      <c r="EO655" s="84"/>
      <c r="ES655" s="84"/>
      <c r="EW655" s="84"/>
    </row>
    <row r="656" customFormat="false" ht="12.75" hidden="false" customHeight="false" outlineLevel="0" collapsed="false">
      <c r="A656" s="37"/>
      <c r="E656" s="83"/>
      <c r="J656" s="84"/>
      <c r="N656" s="84"/>
      <c r="R656" s="84"/>
      <c r="V656" s="84"/>
      <c r="Z656" s="84"/>
      <c r="AD656" s="84"/>
      <c r="AH656" s="84"/>
      <c r="AL656" s="84"/>
      <c r="AP656" s="84"/>
      <c r="AT656" s="84"/>
      <c r="AX656" s="84"/>
      <c r="BB656" s="85"/>
      <c r="BC656" s="84"/>
      <c r="BD656" s="84"/>
      <c r="BF656" s="84"/>
      <c r="BL656" s="84"/>
      <c r="BP656" s="86"/>
      <c r="BV656" s="84"/>
      <c r="CA656" s="84"/>
      <c r="CF656" s="84"/>
      <c r="CK656" s="84"/>
      <c r="CP656" s="84"/>
      <c r="CS656" s="86"/>
      <c r="CT656" s="84"/>
      <c r="CW656" s="86"/>
      <c r="CX656" s="84"/>
      <c r="DA656" s="86"/>
      <c r="DB656" s="84"/>
      <c r="DE656" s="86"/>
      <c r="DF656" s="84"/>
      <c r="DI656" s="86"/>
      <c r="DJ656" s="84"/>
      <c r="DM656" s="86"/>
      <c r="DN656" s="84"/>
      <c r="DQ656" s="86"/>
      <c r="DR656" s="85"/>
      <c r="DS656" s="85"/>
      <c r="DT656" s="84"/>
      <c r="DV656" s="84"/>
      <c r="DW656" s="157"/>
      <c r="EB656" s="84"/>
      <c r="EG656" s="84"/>
      <c r="EK656" s="84"/>
      <c r="EO656" s="84"/>
      <c r="ES656" s="84"/>
      <c r="EW656" s="84"/>
    </row>
    <row r="657" customFormat="false" ht="12.75" hidden="false" customHeight="false" outlineLevel="0" collapsed="false">
      <c r="A657" s="37"/>
      <c r="E657" s="83"/>
      <c r="J657" s="84"/>
      <c r="N657" s="84"/>
      <c r="R657" s="84"/>
      <c r="V657" s="84"/>
      <c r="Z657" s="84"/>
      <c r="AD657" s="84"/>
      <c r="AH657" s="84"/>
      <c r="AL657" s="84"/>
      <c r="AP657" s="84"/>
      <c r="AT657" s="84"/>
      <c r="AX657" s="84"/>
      <c r="BB657" s="85"/>
      <c r="BC657" s="84"/>
      <c r="BD657" s="84"/>
      <c r="BF657" s="84"/>
      <c r="BL657" s="84"/>
      <c r="BP657" s="86"/>
      <c r="BV657" s="84"/>
      <c r="CA657" s="84"/>
      <c r="CF657" s="84"/>
      <c r="CK657" s="84"/>
      <c r="CP657" s="84"/>
      <c r="CS657" s="86"/>
      <c r="CT657" s="84"/>
      <c r="CW657" s="86"/>
      <c r="CX657" s="84"/>
      <c r="DA657" s="86"/>
      <c r="DB657" s="84"/>
      <c r="DE657" s="86"/>
      <c r="DF657" s="84"/>
      <c r="DI657" s="86"/>
      <c r="DJ657" s="84"/>
      <c r="DM657" s="86"/>
      <c r="DN657" s="84"/>
      <c r="DQ657" s="86"/>
      <c r="DR657" s="85"/>
      <c r="DS657" s="85"/>
      <c r="DT657" s="84"/>
      <c r="DV657" s="84"/>
      <c r="DW657" s="157"/>
      <c r="EB657" s="84"/>
      <c r="EG657" s="84"/>
      <c r="EK657" s="84"/>
      <c r="EO657" s="84"/>
      <c r="ES657" s="84"/>
      <c r="EW657" s="84"/>
    </row>
    <row r="658" customFormat="false" ht="12.75" hidden="false" customHeight="false" outlineLevel="0" collapsed="false">
      <c r="A658" s="37"/>
      <c r="E658" s="83"/>
      <c r="J658" s="84"/>
      <c r="N658" s="84"/>
      <c r="R658" s="84"/>
      <c r="V658" s="84"/>
      <c r="Z658" s="84"/>
      <c r="AD658" s="84"/>
      <c r="AH658" s="84"/>
      <c r="AL658" s="84"/>
      <c r="AP658" s="84"/>
      <c r="AT658" s="84"/>
      <c r="AX658" s="84"/>
      <c r="BB658" s="85"/>
      <c r="BC658" s="84"/>
      <c r="BD658" s="84"/>
      <c r="BF658" s="84"/>
      <c r="BL658" s="84"/>
      <c r="BP658" s="86"/>
      <c r="BV658" s="84"/>
      <c r="CA658" s="84"/>
      <c r="CF658" s="84"/>
      <c r="CK658" s="84"/>
      <c r="CP658" s="84"/>
      <c r="CS658" s="86"/>
      <c r="CT658" s="84"/>
      <c r="CW658" s="86"/>
      <c r="CX658" s="84"/>
      <c r="DA658" s="86"/>
      <c r="DB658" s="84"/>
      <c r="DE658" s="86"/>
      <c r="DF658" s="84"/>
      <c r="DI658" s="86"/>
      <c r="DJ658" s="84"/>
      <c r="DM658" s="86"/>
      <c r="DN658" s="84"/>
      <c r="DQ658" s="86"/>
      <c r="DR658" s="85"/>
      <c r="DS658" s="85"/>
      <c r="DT658" s="84"/>
      <c r="DV658" s="84"/>
      <c r="DW658" s="157"/>
      <c r="EB658" s="84"/>
      <c r="EG658" s="84"/>
      <c r="EK658" s="84"/>
      <c r="EO658" s="84"/>
      <c r="ES658" s="84"/>
      <c r="EW658" s="84"/>
    </row>
    <row r="659" customFormat="false" ht="12.75" hidden="false" customHeight="false" outlineLevel="0" collapsed="false">
      <c r="A659" s="37"/>
      <c r="E659" s="83"/>
      <c r="J659" s="84"/>
      <c r="N659" s="84"/>
      <c r="R659" s="84"/>
      <c r="V659" s="84"/>
      <c r="Z659" s="84"/>
      <c r="AD659" s="84"/>
      <c r="AH659" s="84"/>
      <c r="AL659" s="84"/>
      <c r="AP659" s="84"/>
      <c r="AT659" s="84"/>
      <c r="AX659" s="84"/>
      <c r="BB659" s="85"/>
      <c r="BC659" s="84"/>
      <c r="BD659" s="84"/>
      <c r="BF659" s="84"/>
      <c r="BL659" s="84"/>
      <c r="BP659" s="86"/>
      <c r="BV659" s="84"/>
      <c r="CA659" s="84"/>
      <c r="CF659" s="84"/>
      <c r="CK659" s="84"/>
      <c r="CP659" s="84"/>
      <c r="CS659" s="86"/>
      <c r="CT659" s="84"/>
      <c r="CW659" s="86"/>
      <c r="CX659" s="84"/>
      <c r="DA659" s="86"/>
      <c r="DB659" s="84"/>
      <c r="DE659" s="86"/>
      <c r="DF659" s="84"/>
      <c r="DI659" s="86"/>
      <c r="DJ659" s="84"/>
      <c r="DM659" s="86"/>
      <c r="DN659" s="84"/>
      <c r="DQ659" s="86"/>
      <c r="DR659" s="85"/>
      <c r="DS659" s="85"/>
      <c r="DT659" s="84"/>
      <c r="DV659" s="84"/>
      <c r="DW659" s="157"/>
      <c r="EB659" s="84"/>
      <c r="EG659" s="84"/>
      <c r="EK659" s="84"/>
      <c r="EO659" s="84"/>
      <c r="ES659" s="84"/>
      <c r="EW659" s="84"/>
    </row>
    <row r="660" customFormat="false" ht="12.75" hidden="false" customHeight="false" outlineLevel="0" collapsed="false">
      <c r="A660" s="37"/>
      <c r="E660" s="83"/>
      <c r="J660" s="84"/>
      <c r="N660" s="84"/>
      <c r="R660" s="84"/>
      <c r="V660" s="84"/>
      <c r="Z660" s="84"/>
      <c r="AD660" s="84"/>
      <c r="AH660" s="84"/>
      <c r="AL660" s="84"/>
      <c r="AP660" s="84"/>
      <c r="AT660" s="84"/>
      <c r="AX660" s="84"/>
      <c r="BB660" s="85"/>
      <c r="BC660" s="84"/>
      <c r="BD660" s="84"/>
      <c r="BF660" s="84"/>
      <c r="BL660" s="84"/>
      <c r="BP660" s="86"/>
      <c r="BV660" s="84"/>
      <c r="CA660" s="84"/>
      <c r="CF660" s="84"/>
      <c r="CK660" s="84"/>
      <c r="CP660" s="84"/>
      <c r="CS660" s="86"/>
      <c r="CT660" s="84"/>
      <c r="CW660" s="86"/>
      <c r="CX660" s="84"/>
      <c r="DA660" s="86"/>
      <c r="DB660" s="84"/>
      <c r="DE660" s="86"/>
      <c r="DF660" s="84"/>
      <c r="DI660" s="86"/>
      <c r="DJ660" s="84"/>
      <c r="DM660" s="86"/>
      <c r="DN660" s="84"/>
      <c r="DQ660" s="86"/>
      <c r="DR660" s="85"/>
      <c r="DS660" s="85"/>
      <c r="DT660" s="84"/>
      <c r="DV660" s="84"/>
      <c r="DW660" s="157"/>
      <c r="EB660" s="84"/>
      <c r="EG660" s="84"/>
      <c r="EK660" s="84"/>
      <c r="EO660" s="84"/>
      <c r="ES660" s="84"/>
      <c r="EW660" s="84"/>
    </row>
    <row r="661" customFormat="false" ht="12.75" hidden="false" customHeight="false" outlineLevel="0" collapsed="false">
      <c r="A661" s="37"/>
      <c r="E661" s="83"/>
      <c r="J661" s="84"/>
      <c r="N661" s="84"/>
      <c r="R661" s="84"/>
      <c r="V661" s="84"/>
      <c r="Z661" s="84"/>
      <c r="AD661" s="84"/>
      <c r="AH661" s="84"/>
      <c r="AL661" s="84"/>
      <c r="AP661" s="84"/>
      <c r="AT661" s="84"/>
      <c r="AX661" s="84"/>
      <c r="BB661" s="85"/>
      <c r="BC661" s="84"/>
      <c r="BD661" s="84"/>
      <c r="BF661" s="84"/>
      <c r="BL661" s="84"/>
      <c r="BP661" s="86"/>
      <c r="BV661" s="84"/>
      <c r="CA661" s="84"/>
      <c r="CF661" s="84"/>
      <c r="CK661" s="84"/>
      <c r="CP661" s="84"/>
      <c r="CS661" s="86"/>
      <c r="CT661" s="84"/>
      <c r="CW661" s="86"/>
      <c r="CX661" s="84"/>
      <c r="DA661" s="86"/>
      <c r="DB661" s="84"/>
      <c r="DE661" s="86"/>
      <c r="DF661" s="84"/>
      <c r="DI661" s="86"/>
      <c r="DJ661" s="84"/>
      <c r="DM661" s="86"/>
      <c r="DN661" s="84"/>
      <c r="DQ661" s="86"/>
      <c r="DR661" s="85"/>
      <c r="DS661" s="85"/>
      <c r="DT661" s="84"/>
      <c r="DV661" s="84"/>
      <c r="DW661" s="157"/>
      <c r="EB661" s="84"/>
      <c r="EG661" s="84"/>
      <c r="EK661" s="84"/>
      <c r="EO661" s="84"/>
      <c r="ES661" s="84"/>
      <c r="EW661" s="84"/>
    </row>
    <row r="662" customFormat="false" ht="12.75" hidden="false" customHeight="false" outlineLevel="0" collapsed="false">
      <c r="A662" s="37"/>
      <c r="E662" s="83"/>
      <c r="J662" s="84"/>
      <c r="N662" s="84"/>
      <c r="R662" s="84"/>
      <c r="V662" s="84"/>
      <c r="Z662" s="84"/>
      <c r="AD662" s="84"/>
      <c r="AH662" s="84"/>
      <c r="AL662" s="84"/>
      <c r="AP662" s="84"/>
      <c r="AT662" s="84"/>
      <c r="AX662" s="84"/>
      <c r="BB662" s="85"/>
      <c r="BC662" s="84"/>
      <c r="BD662" s="84"/>
      <c r="BF662" s="84"/>
      <c r="BL662" s="84"/>
      <c r="BP662" s="86"/>
      <c r="BV662" s="84"/>
      <c r="CA662" s="84"/>
      <c r="CF662" s="84"/>
      <c r="CK662" s="84"/>
      <c r="CP662" s="84"/>
      <c r="CS662" s="86"/>
      <c r="CT662" s="84"/>
      <c r="CW662" s="86"/>
      <c r="CX662" s="84"/>
      <c r="DA662" s="86"/>
      <c r="DB662" s="84"/>
      <c r="DE662" s="86"/>
      <c r="DF662" s="84"/>
      <c r="DI662" s="86"/>
      <c r="DJ662" s="84"/>
      <c r="DM662" s="86"/>
      <c r="DN662" s="84"/>
      <c r="DQ662" s="86"/>
      <c r="DR662" s="85"/>
      <c r="DS662" s="85"/>
      <c r="DT662" s="84"/>
      <c r="DV662" s="84"/>
      <c r="DW662" s="157"/>
      <c r="EB662" s="84"/>
      <c r="EG662" s="84"/>
      <c r="EK662" s="84"/>
      <c r="EO662" s="84"/>
      <c r="ES662" s="84"/>
      <c r="EW662" s="84"/>
    </row>
    <row r="663" customFormat="false" ht="12.75" hidden="false" customHeight="false" outlineLevel="0" collapsed="false">
      <c r="A663" s="37"/>
      <c r="E663" s="83"/>
      <c r="J663" s="84"/>
      <c r="N663" s="84"/>
      <c r="R663" s="84"/>
      <c r="V663" s="84"/>
      <c r="Z663" s="84"/>
      <c r="AD663" s="84"/>
      <c r="AH663" s="84"/>
      <c r="AL663" s="84"/>
      <c r="AP663" s="84"/>
      <c r="AT663" s="84"/>
      <c r="AX663" s="84"/>
      <c r="BB663" s="85"/>
      <c r="BC663" s="84"/>
      <c r="BD663" s="84"/>
      <c r="BF663" s="84"/>
      <c r="BL663" s="84"/>
      <c r="BP663" s="86"/>
      <c r="BV663" s="84"/>
      <c r="CA663" s="84"/>
      <c r="CF663" s="84"/>
      <c r="CK663" s="84"/>
      <c r="CP663" s="84"/>
      <c r="CS663" s="86"/>
      <c r="CT663" s="84"/>
      <c r="CW663" s="86"/>
      <c r="CX663" s="84"/>
      <c r="DA663" s="86"/>
      <c r="DB663" s="84"/>
      <c r="DE663" s="86"/>
      <c r="DF663" s="84"/>
      <c r="DI663" s="86"/>
      <c r="DJ663" s="84"/>
      <c r="DM663" s="86"/>
      <c r="DN663" s="84"/>
      <c r="DQ663" s="86"/>
      <c r="DR663" s="85"/>
      <c r="DS663" s="85"/>
      <c r="DT663" s="84"/>
      <c r="DV663" s="84"/>
      <c r="DW663" s="157"/>
      <c r="EB663" s="84"/>
      <c r="EG663" s="84"/>
      <c r="EK663" s="84"/>
      <c r="EO663" s="84"/>
      <c r="ES663" s="84"/>
      <c r="EW663" s="84"/>
    </row>
    <row r="664" customFormat="false" ht="12.75" hidden="false" customHeight="false" outlineLevel="0" collapsed="false">
      <c r="A664" s="37"/>
      <c r="E664" s="83"/>
      <c r="J664" s="84"/>
      <c r="N664" s="84"/>
      <c r="R664" s="84"/>
      <c r="V664" s="84"/>
      <c r="Z664" s="84"/>
      <c r="AD664" s="84"/>
      <c r="AH664" s="84"/>
      <c r="AL664" s="84"/>
      <c r="AP664" s="84"/>
      <c r="AT664" s="84"/>
      <c r="AX664" s="84"/>
      <c r="BB664" s="85"/>
      <c r="BC664" s="84"/>
      <c r="BD664" s="84"/>
      <c r="BF664" s="84"/>
      <c r="BL664" s="84"/>
      <c r="BP664" s="86"/>
      <c r="BV664" s="84"/>
      <c r="CA664" s="84"/>
      <c r="CF664" s="84"/>
      <c r="CK664" s="84"/>
      <c r="CP664" s="84"/>
      <c r="CS664" s="86"/>
      <c r="CT664" s="84"/>
      <c r="CW664" s="86"/>
      <c r="CX664" s="84"/>
      <c r="DA664" s="86"/>
      <c r="DB664" s="84"/>
      <c r="DE664" s="86"/>
      <c r="DF664" s="84"/>
      <c r="DI664" s="86"/>
      <c r="DJ664" s="84"/>
      <c r="DM664" s="86"/>
      <c r="DN664" s="84"/>
      <c r="DQ664" s="86"/>
      <c r="DR664" s="85"/>
      <c r="DS664" s="85"/>
      <c r="DT664" s="84"/>
      <c r="DV664" s="84"/>
      <c r="DW664" s="157"/>
      <c r="EB664" s="84"/>
      <c r="EG664" s="84"/>
      <c r="EK664" s="84"/>
      <c r="EO664" s="84"/>
      <c r="ES664" s="84"/>
      <c r="EW664" s="84"/>
    </row>
    <row r="665" customFormat="false" ht="12.75" hidden="false" customHeight="false" outlineLevel="0" collapsed="false">
      <c r="A665" s="37"/>
      <c r="E665" s="83"/>
      <c r="J665" s="84"/>
      <c r="N665" s="84"/>
      <c r="R665" s="84"/>
      <c r="V665" s="84"/>
      <c r="Z665" s="84"/>
      <c r="AD665" s="84"/>
      <c r="AH665" s="84"/>
      <c r="AL665" s="84"/>
      <c r="AP665" s="84"/>
      <c r="AT665" s="84"/>
      <c r="AX665" s="84"/>
      <c r="BB665" s="85"/>
      <c r="BC665" s="84"/>
      <c r="BD665" s="84"/>
      <c r="BF665" s="84"/>
      <c r="BL665" s="84"/>
      <c r="BP665" s="86"/>
      <c r="BV665" s="84"/>
      <c r="CA665" s="84"/>
      <c r="CF665" s="84"/>
      <c r="CK665" s="84"/>
      <c r="CP665" s="84"/>
      <c r="CS665" s="86"/>
      <c r="CT665" s="84"/>
      <c r="CW665" s="86"/>
      <c r="CX665" s="84"/>
      <c r="DA665" s="86"/>
      <c r="DB665" s="84"/>
      <c r="DE665" s="86"/>
      <c r="DF665" s="84"/>
      <c r="DI665" s="86"/>
      <c r="DJ665" s="84"/>
      <c r="DM665" s="86"/>
      <c r="DN665" s="84"/>
      <c r="DQ665" s="86"/>
      <c r="DR665" s="85"/>
      <c r="DS665" s="85"/>
      <c r="DT665" s="84"/>
      <c r="DV665" s="84"/>
      <c r="DW665" s="157"/>
      <c r="EB665" s="84"/>
      <c r="EG665" s="84"/>
      <c r="EK665" s="84"/>
      <c r="EO665" s="84"/>
      <c r="ES665" s="84"/>
      <c r="EW665" s="84"/>
    </row>
    <row r="666" customFormat="false" ht="12.75" hidden="false" customHeight="false" outlineLevel="0" collapsed="false">
      <c r="A666" s="37"/>
      <c r="E666" s="83"/>
      <c r="J666" s="84"/>
      <c r="N666" s="84"/>
      <c r="R666" s="84"/>
      <c r="V666" s="84"/>
      <c r="Z666" s="84"/>
      <c r="AD666" s="84"/>
      <c r="AH666" s="84"/>
      <c r="AL666" s="84"/>
      <c r="AP666" s="84"/>
      <c r="AT666" s="84"/>
      <c r="AX666" s="84"/>
      <c r="BB666" s="85"/>
      <c r="BC666" s="84"/>
      <c r="BD666" s="84"/>
      <c r="BF666" s="84"/>
      <c r="BL666" s="84"/>
      <c r="BP666" s="86"/>
      <c r="BV666" s="84"/>
      <c r="CA666" s="84"/>
      <c r="CF666" s="84"/>
      <c r="CK666" s="84"/>
      <c r="CP666" s="84"/>
      <c r="CS666" s="86"/>
      <c r="CT666" s="84"/>
      <c r="CW666" s="86"/>
      <c r="CX666" s="84"/>
      <c r="DA666" s="86"/>
      <c r="DB666" s="84"/>
      <c r="DE666" s="86"/>
      <c r="DF666" s="84"/>
      <c r="DI666" s="86"/>
      <c r="DJ666" s="84"/>
      <c r="DM666" s="86"/>
      <c r="DN666" s="84"/>
      <c r="DQ666" s="86"/>
      <c r="DR666" s="85"/>
      <c r="DS666" s="85"/>
      <c r="DT666" s="84"/>
      <c r="DV666" s="84"/>
      <c r="DW666" s="157"/>
      <c r="EB666" s="84"/>
      <c r="EG666" s="84"/>
      <c r="EK666" s="84"/>
      <c r="EO666" s="84"/>
      <c r="ES666" s="84"/>
      <c r="EW666" s="84"/>
    </row>
    <row r="667" customFormat="false" ht="12.75" hidden="false" customHeight="false" outlineLevel="0" collapsed="false">
      <c r="A667" s="37"/>
      <c r="E667" s="83"/>
      <c r="J667" s="84"/>
      <c r="N667" s="84"/>
      <c r="R667" s="84"/>
      <c r="V667" s="84"/>
      <c r="Z667" s="84"/>
      <c r="AD667" s="84"/>
      <c r="AH667" s="84"/>
      <c r="AL667" s="84"/>
      <c r="AP667" s="84"/>
      <c r="AT667" s="84"/>
      <c r="AX667" s="84"/>
      <c r="BB667" s="85"/>
      <c r="BC667" s="84"/>
      <c r="BD667" s="84"/>
      <c r="BF667" s="84"/>
      <c r="BL667" s="84"/>
      <c r="BP667" s="86"/>
      <c r="BV667" s="84"/>
      <c r="CA667" s="84"/>
      <c r="CF667" s="84"/>
      <c r="CK667" s="84"/>
      <c r="CP667" s="84"/>
      <c r="CS667" s="86"/>
      <c r="CT667" s="84"/>
      <c r="CW667" s="86"/>
      <c r="CX667" s="84"/>
      <c r="DA667" s="86"/>
      <c r="DB667" s="84"/>
      <c r="DE667" s="86"/>
      <c r="DF667" s="84"/>
      <c r="DI667" s="86"/>
      <c r="DJ667" s="84"/>
      <c r="DM667" s="86"/>
      <c r="DN667" s="84"/>
      <c r="DQ667" s="86"/>
      <c r="DR667" s="85"/>
      <c r="DS667" s="85"/>
      <c r="DT667" s="84"/>
      <c r="DV667" s="84"/>
      <c r="DW667" s="157"/>
      <c r="EB667" s="84"/>
      <c r="EG667" s="84"/>
      <c r="EK667" s="84"/>
      <c r="EO667" s="84"/>
      <c r="ES667" s="84"/>
      <c r="EW667" s="84"/>
    </row>
    <row r="668" customFormat="false" ht="12.75" hidden="false" customHeight="false" outlineLevel="0" collapsed="false">
      <c r="A668" s="37"/>
      <c r="E668" s="83"/>
      <c r="J668" s="84"/>
      <c r="N668" s="84"/>
      <c r="R668" s="84"/>
      <c r="V668" s="84"/>
      <c r="Z668" s="84"/>
      <c r="AD668" s="84"/>
      <c r="AH668" s="84"/>
      <c r="AL668" s="84"/>
      <c r="AP668" s="84"/>
      <c r="AT668" s="84"/>
      <c r="AX668" s="84"/>
      <c r="BB668" s="85"/>
      <c r="BC668" s="84"/>
      <c r="BD668" s="84"/>
      <c r="BF668" s="84"/>
      <c r="BL668" s="84"/>
      <c r="BP668" s="86"/>
      <c r="BV668" s="84"/>
      <c r="CA668" s="84"/>
      <c r="CF668" s="84"/>
      <c r="CK668" s="84"/>
      <c r="CP668" s="84"/>
      <c r="CS668" s="86"/>
      <c r="CT668" s="84"/>
      <c r="CW668" s="86"/>
      <c r="CX668" s="84"/>
      <c r="DA668" s="86"/>
      <c r="DB668" s="84"/>
      <c r="DE668" s="86"/>
      <c r="DF668" s="84"/>
      <c r="DI668" s="86"/>
      <c r="DJ668" s="84"/>
      <c r="DM668" s="86"/>
      <c r="DN668" s="84"/>
      <c r="DQ668" s="86"/>
      <c r="DR668" s="85"/>
      <c r="DS668" s="85"/>
      <c r="DT668" s="84"/>
      <c r="DV668" s="84"/>
      <c r="DW668" s="157"/>
      <c r="EB668" s="84"/>
      <c r="EG668" s="84"/>
      <c r="EK668" s="84"/>
      <c r="EO668" s="84"/>
      <c r="ES668" s="84"/>
      <c r="EW668" s="84"/>
    </row>
    <row r="669" customFormat="false" ht="12.75" hidden="false" customHeight="false" outlineLevel="0" collapsed="false">
      <c r="A669" s="37"/>
      <c r="E669" s="83"/>
      <c r="J669" s="84"/>
      <c r="N669" s="84"/>
      <c r="R669" s="84"/>
      <c r="V669" s="84"/>
      <c r="Z669" s="84"/>
      <c r="AD669" s="84"/>
      <c r="AH669" s="84"/>
      <c r="AL669" s="84"/>
      <c r="AP669" s="84"/>
      <c r="AT669" s="84"/>
      <c r="AX669" s="84"/>
      <c r="BB669" s="85"/>
      <c r="BC669" s="84"/>
      <c r="BD669" s="84"/>
      <c r="BF669" s="84"/>
      <c r="BL669" s="84"/>
      <c r="BP669" s="86"/>
      <c r="BV669" s="84"/>
      <c r="CA669" s="84"/>
      <c r="CF669" s="84"/>
      <c r="CK669" s="84"/>
      <c r="CP669" s="84"/>
      <c r="CS669" s="86"/>
      <c r="CT669" s="84"/>
      <c r="CW669" s="86"/>
      <c r="CX669" s="84"/>
      <c r="DA669" s="86"/>
      <c r="DB669" s="84"/>
      <c r="DE669" s="86"/>
      <c r="DF669" s="84"/>
      <c r="DI669" s="86"/>
      <c r="DJ669" s="84"/>
      <c r="DM669" s="86"/>
      <c r="DN669" s="84"/>
      <c r="DQ669" s="86"/>
      <c r="DR669" s="85"/>
      <c r="DS669" s="85"/>
      <c r="DT669" s="84"/>
      <c r="DV669" s="84"/>
      <c r="DW669" s="157"/>
      <c r="EB669" s="84"/>
      <c r="EG669" s="84"/>
      <c r="EK669" s="84"/>
      <c r="EO669" s="84"/>
      <c r="ES669" s="84"/>
      <c r="EW669" s="84"/>
    </row>
    <row r="670" customFormat="false" ht="12.75" hidden="false" customHeight="false" outlineLevel="0" collapsed="false">
      <c r="A670" s="37"/>
      <c r="E670" s="83"/>
      <c r="J670" s="84"/>
      <c r="N670" s="84"/>
      <c r="R670" s="84"/>
      <c r="V670" s="84"/>
      <c r="Z670" s="84"/>
      <c r="AD670" s="84"/>
      <c r="AH670" s="84"/>
      <c r="AL670" s="84"/>
      <c r="AP670" s="84"/>
      <c r="AT670" s="84"/>
      <c r="AX670" s="84"/>
      <c r="BB670" s="85"/>
      <c r="BC670" s="84"/>
      <c r="BD670" s="84"/>
      <c r="BF670" s="84"/>
      <c r="BL670" s="84"/>
      <c r="BP670" s="86"/>
      <c r="BV670" s="84"/>
      <c r="CA670" s="84"/>
      <c r="CF670" s="84"/>
      <c r="CK670" s="84"/>
      <c r="CP670" s="84"/>
      <c r="CS670" s="86"/>
      <c r="CT670" s="84"/>
      <c r="CW670" s="86"/>
      <c r="CX670" s="84"/>
      <c r="DA670" s="86"/>
      <c r="DB670" s="84"/>
      <c r="DE670" s="86"/>
      <c r="DF670" s="84"/>
      <c r="DI670" s="86"/>
      <c r="DJ670" s="84"/>
      <c r="DM670" s="86"/>
      <c r="DN670" s="84"/>
      <c r="DQ670" s="86"/>
      <c r="DR670" s="85"/>
      <c r="DS670" s="85"/>
      <c r="DT670" s="84"/>
      <c r="DV670" s="84"/>
      <c r="DW670" s="157"/>
      <c r="EB670" s="84"/>
      <c r="EG670" s="84"/>
      <c r="EK670" s="84"/>
      <c r="EO670" s="84"/>
      <c r="ES670" s="84"/>
      <c r="EW670" s="84"/>
    </row>
    <row r="671" customFormat="false" ht="12.75" hidden="false" customHeight="false" outlineLevel="0" collapsed="false">
      <c r="A671" s="37"/>
      <c r="E671" s="83"/>
      <c r="J671" s="84"/>
      <c r="N671" s="84"/>
      <c r="R671" s="84"/>
      <c r="V671" s="84"/>
      <c r="Z671" s="84"/>
      <c r="AD671" s="84"/>
      <c r="AH671" s="84"/>
      <c r="AL671" s="84"/>
      <c r="AP671" s="84"/>
      <c r="AT671" s="84"/>
      <c r="AX671" s="84"/>
      <c r="BB671" s="85"/>
      <c r="BC671" s="84"/>
      <c r="BD671" s="84"/>
      <c r="BF671" s="84"/>
      <c r="BL671" s="84"/>
      <c r="BP671" s="86"/>
      <c r="BV671" s="84"/>
      <c r="CA671" s="84"/>
      <c r="CF671" s="84"/>
      <c r="CK671" s="84"/>
      <c r="CP671" s="84"/>
      <c r="CS671" s="86"/>
      <c r="CT671" s="84"/>
      <c r="CW671" s="86"/>
      <c r="CX671" s="84"/>
      <c r="DA671" s="86"/>
      <c r="DB671" s="84"/>
      <c r="DE671" s="86"/>
      <c r="DF671" s="84"/>
      <c r="DI671" s="86"/>
      <c r="DJ671" s="84"/>
      <c r="DM671" s="86"/>
      <c r="DN671" s="84"/>
      <c r="DQ671" s="86"/>
      <c r="DR671" s="85"/>
      <c r="DS671" s="85"/>
      <c r="DT671" s="84"/>
      <c r="DV671" s="84"/>
      <c r="DW671" s="157"/>
      <c r="EB671" s="84"/>
      <c r="EG671" s="84"/>
      <c r="EK671" s="84"/>
      <c r="EO671" s="84"/>
      <c r="ES671" s="84"/>
      <c r="EW671" s="84"/>
    </row>
    <row r="672" customFormat="false" ht="12.75" hidden="false" customHeight="false" outlineLevel="0" collapsed="false">
      <c r="A672" s="37"/>
      <c r="E672" s="83"/>
      <c r="J672" s="84"/>
      <c r="N672" s="84"/>
      <c r="R672" s="84"/>
      <c r="V672" s="84"/>
      <c r="Z672" s="84"/>
      <c r="AD672" s="84"/>
      <c r="AH672" s="84"/>
      <c r="AL672" s="84"/>
      <c r="AP672" s="84"/>
      <c r="AT672" s="84"/>
      <c r="AX672" s="84"/>
      <c r="BB672" s="85"/>
      <c r="BC672" s="84"/>
      <c r="BD672" s="84"/>
      <c r="BF672" s="84"/>
      <c r="BL672" s="84"/>
      <c r="BP672" s="86"/>
      <c r="BV672" s="84"/>
      <c r="CA672" s="84"/>
      <c r="CF672" s="84"/>
      <c r="CK672" s="84"/>
      <c r="CP672" s="84"/>
      <c r="CS672" s="86"/>
      <c r="CT672" s="84"/>
      <c r="CW672" s="86"/>
      <c r="CX672" s="84"/>
      <c r="DA672" s="86"/>
      <c r="DB672" s="84"/>
      <c r="DE672" s="86"/>
      <c r="DF672" s="84"/>
      <c r="DI672" s="86"/>
      <c r="DJ672" s="84"/>
      <c r="DM672" s="86"/>
      <c r="DN672" s="84"/>
      <c r="DQ672" s="86"/>
      <c r="DR672" s="85"/>
      <c r="DS672" s="85"/>
      <c r="DT672" s="84"/>
      <c r="DV672" s="84"/>
      <c r="DW672" s="157"/>
      <c r="EB672" s="84"/>
      <c r="EG672" s="84"/>
      <c r="EK672" s="84"/>
      <c r="EO672" s="84"/>
      <c r="ES672" s="84"/>
      <c r="EW672" s="84"/>
    </row>
    <row r="673" customFormat="false" ht="12.75" hidden="false" customHeight="false" outlineLevel="0" collapsed="false">
      <c r="A673" s="37"/>
      <c r="E673" s="83"/>
      <c r="J673" s="84"/>
      <c r="N673" s="84"/>
      <c r="R673" s="84"/>
      <c r="V673" s="84"/>
      <c r="Z673" s="84"/>
      <c r="AD673" s="84"/>
      <c r="AH673" s="84"/>
      <c r="AL673" s="84"/>
      <c r="AP673" s="84"/>
      <c r="AT673" s="84"/>
      <c r="AX673" s="84"/>
      <c r="BB673" s="85"/>
      <c r="BC673" s="84"/>
      <c r="BD673" s="84"/>
      <c r="BF673" s="84"/>
      <c r="BL673" s="84"/>
      <c r="BP673" s="86"/>
      <c r="BV673" s="84"/>
      <c r="CA673" s="84"/>
      <c r="CF673" s="84"/>
      <c r="CK673" s="84"/>
      <c r="CP673" s="84"/>
      <c r="CS673" s="86"/>
      <c r="CT673" s="84"/>
      <c r="CW673" s="86"/>
      <c r="CX673" s="84"/>
      <c r="DA673" s="86"/>
      <c r="DB673" s="84"/>
      <c r="DE673" s="86"/>
      <c r="DF673" s="84"/>
      <c r="DI673" s="86"/>
      <c r="DJ673" s="84"/>
      <c r="DM673" s="86"/>
      <c r="DN673" s="84"/>
      <c r="DQ673" s="86"/>
      <c r="DR673" s="85"/>
      <c r="DS673" s="85"/>
      <c r="DT673" s="84"/>
      <c r="DV673" s="84"/>
      <c r="DW673" s="157"/>
      <c r="EB673" s="84"/>
      <c r="EG673" s="84"/>
      <c r="EK673" s="84"/>
      <c r="EO673" s="84"/>
      <c r="ES673" s="84"/>
      <c r="EW673" s="84"/>
    </row>
    <row r="674" customFormat="false" ht="12.75" hidden="false" customHeight="false" outlineLevel="0" collapsed="false">
      <c r="A674" s="37"/>
      <c r="E674" s="83"/>
      <c r="J674" s="84"/>
      <c r="N674" s="84"/>
      <c r="R674" s="84"/>
      <c r="V674" s="84"/>
      <c r="Z674" s="84"/>
      <c r="AD674" s="84"/>
      <c r="AH674" s="84"/>
      <c r="AL674" s="84"/>
      <c r="AP674" s="84"/>
      <c r="AT674" s="84"/>
      <c r="AX674" s="84"/>
      <c r="BB674" s="85"/>
      <c r="BC674" s="84"/>
      <c r="BD674" s="84"/>
      <c r="BF674" s="84"/>
      <c r="BL674" s="84"/>
      <c r="BP674" s="86"/>
      <c r="BV674" s="84"/>
      <c r="CA674" s="84"/>
      <c r="CF674" s="84"/>
      <c r="CK674" s="84"/>
      <c r="CP674" s="84"/>
      <c r="CS674" s="86"/>
      <c r="CT674" s="84"/>
      <c r="CW674" s="86"/>
      <c r="CX674" s="84"/>
      <c r="DA674" s="86"/>
      <c r="DB674" s="84"/>
      <c r="DE674" s="86"/>
      <c r="DF674" s="84"/>
      <c r="DI674" s="86"/>
      <c r="DJ674" s="84"/>
      <c r="DM674" s="86"/>
      <c r="DN674" s="84"/>
      <c r="DQ674" s="86"/>
      <c r="DR674" s="85"/>
      <c r="DS674" s="85"/>
      <c r="DT674" s="84"/>
      <c r="DV674" s="84"/>
      <c r="DW674" s="157"/>
      <c r="EB674" s="84"/>
      <c r="EG674" s="84"/>
      <c r="EK674" s="84"/>
      <c r="EO674" s="84"/>
      <c r="ES674" s="84"/>
      <c r="EW674" s="84"/>
    </row>
    <row r="675" customFormat="false" ht="12.75" hidden="false" customHeight="false" outlineLevel="0" collapsed="false">
      <c r="A675" s="37"/>
      <c r="E675" s="83"/>
      <c r="J675" s="84"/>
      <c r="N675" s="84"/>
      <c r="R675" s="84"/>
      <c r="V675" s="84"/>
      <c r="Z675" s="84"/>
      <c r="AD675" s="84"/>
      <c r="AH675" s="84"/>
      <c r="AL675" s="84"/>
      <c r="AP675" s="84"/>
      <c r="AT675" s="84"/>
      <c r="AX675" s="84"/>
      <c r="BB675" s="85"/>
      <c r="BC675" s="84"/>
      <c r="BD675" s="84"/>
      <c r="BF675" s="84"/>
      <c r="BL675" s="84"/>
      <c r="BP675" s="86"/>
      <c r="BV675" s="84"/>
      <c r="CA675" s="84"/>
      <c r="CF675" s="84"/>
      <c r="CK675" s="84"/>
      <c r="CP675" s="84"/>
      <c r="CS675" s="86"/>
      <c r="CT675" s="84"/>
      <c r="CW675" s="86"/>
      <c r="CX675" s="84"/>
      <c r="DA675" s="86"/>
      <c r="DB675" s="84"/>
      <c r="DE675" s="86"/>
      <c r="DF675" s="84"/>
      <c r="DI675" s="86"/>
      <c r="DJ675" s="84"/>
      <c r="DM675" s="86"/>
      <c r="DN675" s="84"/>
      <c r="DQ675" s="86"/>
      <c r="DR675" s="85"/>
      <c r="DS675" s="85"/>
      <c r="DT675" s="84"/>
      <c r="DV675" s="84"/>
      <c r="DW675" s="157"/>
      <c r="EB675" s="84"/>
      <c r="EG675" s="84"/>
      <c r="EK675" s="84"/>
      <c r="EO675" s="84"/>
      <c r="ES675" s="84"/>
      <c r="EW675" s="84"/>
    </row>
    <row r="676" customFormat="false" ht="12.75" hidden="false" customHeight="false" outlineLevel="0" collapsed="false">
      <c r="A676" s="37"/>
      <c r="E676" s="83"/>
      <c r="J676" s="84"/>
      <c r="N676" s="84"/>
      <c r="R676" s="84"/>
      <c r="V676" s="84"/>
      <c r="Z676" s="84"/>
      <c r="AD676" s="84"/>
      <c r="AH676" s="84"/>
      <c r="AL676" s="84"/>
      <c r="AP676" s="84"/>
      <c r="AT676" s="84"/>
      <c r="AX676" s="84"/>
      <c r="BB676" s="85"/>
      <c r="BC676" s="84"/>
      <c r="BD676" s="84"/>
      <c r="BF676" s="84"/>
      <c r="BL676" s="84"/>
      <c r="BP676" s="86"/>
      <c r="BV676" s="84"/>
      <c r="CA676" s="84"/>
      <c r="CF676" s="84"/>
      <c r="CK676" s="84"/>
      <c r="CP676" s="84"/>
      <c r="CS676" s="86"/>
      <c r="CT676" s="84"/>
      <c r="CW676" s="86"/>
      <c r="CX676" s="84"/>
      <c r="DA676" s="86"/>
      <c r="DB676" s="84"/>
      <c r="DE676" s="86"/>
      <c r="DF676" s="84"/>
      <c r="DI676" s="86"/>
      <c r="DJ676" s="84"/>
      <c r="DM676" s="86"/>
      <c r="DN676" s="84"/>
      <c r="DQ676" s="86"/>
      <c r="DR676" s="85"/>
      <c r="DS676" s="85"/>
      <c r="DT676" s="84"/>
      <c r="DV676" s="84"/>
      <c r="DW676" s="157"/>
      <c r="EB676" s="84"/>
      <c r="EG676" s="84"/>
      <c r="EK676" s="84"/>
      <c r="EO676" s="84"/>
      <c r="ES676" s="84"/>
      <c r="EW676" s="84"/>
    </row>
    <row r="677" customFormat="false" ht="12.75" hidden="false" customHeight="false" outlineLevel="0" collapsed="false">
      <c r="A677" s="37"/>
      <c r="E677" s="83"/>
      <c r="J677" s="84"/>
      <c r="N677" s="84"/>
      <c r="R677" s="84"/>
      <c r="V677" s="84"/>
      <c r="Z677" s="84"/>
      <c r="AD677" s="84"/>
      <c r="AH677" s="84"/>
      <c r="AL677" s="84"/>
      <c r="AP677" s="84"/>
      <c r="AT677" s="84"/>
      <c r="AX677" s="84"/>
      <c r="BB677" s="85"/>
      <c r="BC677" s="84"/>
      <c r="BD677" s="84"/>
      <c r="BF677" s="84"/>
      <c r="BL677" s="84"/>
      <c r="BP677" s="86"/>
      <c r="BV677" s="84"/>
      <c r="CA677" s="84"/>
      <c r="CF677" s="84"/>
      <c r="CK677" s="84"/>
      <c r="CP677" s="84"/>
      <c r="CS677" s="86"/>
      <c r="CT677" s="84"/>
      <c r="CW677" s="86"/>
      <c r="CX677" s="84"/>
      <c r="DA677" s="86"/>
      <c r="DB677" s="84"/>
      <c r="DE677" s="86"/>
      <c r="DF677" s="84"/>
      <c r="DI677" s="86"/>
      <c r="DJ677" s="84"/>
      <c r="DM677" s="86"/>
      <c r="DN677" s="84"/>
      <c r="DQ677" s="86"/>
      <c r="DR677" s="85"/>
      <c r="DS677" s="85"/>
      <c r="DT677" s="84"/>
      <c r="DV677" s="84"/>
      <c r="DW677" s="157"/>
      <c r="EB677" s="84"/>
      <c r="EG677" s="84"/>
      <c r="EK677" s="84"/>
      <c r="EO677" s="84"/>
      <c r="ES677" s="84"/>
      <c r="EW677" s="84"/>
    </row>
    <row r="678" customFormat="false" ht="12.75" hidden="false" customHeight="false" outlineLevel="0" collapsed="false">
      <c r="A678" s="37"/>
      <c r="E678" s="83"/>
      <c r="J678" s="84"/>
      <c r="N678" s="84"/>
      <c r="R678" s="84"/>
      <c r="V678" s="84"/>
      <c r="Z678" s="84"/>
      <c r="AD678" s="84"/>
      <c r="AH678" s="84"/>
      <c r="AL678" s="84"/>
      <c r="AP678" s="84"/>
      <c r="AT678" s="84"/>
      <c r="AX678" s="84"/>
      <c r="BB678" s="85"/>
      <c r="BC678" s="84"/>
      <c r="BD678" s="84"/>
      <c r="BF678" s="84"/>
      <c r="BL678" s="84"/>
      <c r="BP678" s="86"/>
      <c r="BV678" s="84"/>
      <c r="CA678" s="84"/>
      <c r="CF678" s="84"/>
      <c r="CK678" s="84"/>
      <c r="CP678" s="84"/>
      <c r="CS678" s="86"/>
      <c r="CT678" s="84"/>
      <c r="CW678" s="86"/>
      <c r="CX678" s="84"/>
      <c r="DA678" s="86"/>
      <c r="DB678" s="84"/>
      <c r="DE678" s="86"/>
      <c r="DF678" s="84"/>
      <c r="DI678" s="86"/>
      <c r="DJ678" s="84"/>
      <c r="DM678" s="86"/>
      <c r="DN678" s="84"/>
      <c r="DQ678" s="86"/>
      <c r="DR678" s="85"/>
      <c r="DS678" s="85"/>
      <c r="DT678" s="84"/>
      <c r="DV678" s="84"/>
      <c r="DW678" s="157"/>
      <c r="EB678" s="84"/>
      <c r="EG678" s="84"/>
      <c r="EK678" s="84"/>
      <c r="EO678" s="84"/>
      <c r="ES678" s="84"/>
      <c r="EW678" s="84"/>
    </row>
    <row r="679" customFormat="false" ht="12.75" hidden="false" customHeight="false" outlineLevel="0" collapsed="false">
      <c r="A679" s="37"/>
      <c r="E679" s="83"/>
      <c r="J679" s="84"/>
      <c r="N679" s="84"/>
      <c r="R679" s="84"/>
      <c r="V679" s="84"/>
      <c r="Z679" s="84"/>
      <c r="AD679" s="84"/>
      <c r="AH679" s="84"/>
      <c r="AL679" s="84"/>
      <c r="AP679" s="84"/>
      <c r="AT679" s="84"/>
      <c r="AX679" s="84"/>
      <c r="BB679" s="85"/>
      <c r="BC679" s="84"/>
      <c r="BD679" s="84"/>
      <c r="BF679" s="84"/>
      <c r="BL679" s="84"/>
      <c r="BP679" s="86"/>
      <c r="BV679" s="84"/>
      <c r="CA679" s="84"/>
      <c r="CF679" s="84"/>
      <c r="CK679" s="84"/>
      <c r="CP679" s="84"/>
      <c r="CS679" s="86"/>
      <c r="CT679" s="84"/>
      <c r="CW679" s="86"/>
      <c r="CX679" s="84"/>
      <c r="DA679" s="86"/>
      <c r="DB679" s="84"/>
      <c r="DE679" s="86"/>
      <c r="DF679" s="84"/>
      <c r="DI679" s="86"/>
      <c r="DJ679" s="84"/>
      <c r="DM679" s="86"/>
      <c r="DN679" s="84"/>
      <c r="DQ679" s="86"/>
      <c r="DR679" s="85"/>
      <c r="DS679" s="85"/>
      <c r="DT679" s="84"/>
      <c r="DV679" s="84"/>
      <c r="DW679" s="157"/>
      <c r="EB679" s="84"/>
      <c r="EG679" s="84"/>
      <c r="EK679" s="84"/>
      <c r="EO679" s="84"/>
      <c r="ES679" s="84"/>
      <c r="EW679" s="84"/>
    </row>
    <row r="680" customFormat="false" ht="12.75" hidden="false" customHeight="false" outlineLevel="0" collapsed="false">
      <c r="A680" s="37"/>
      <c r="E680" s="83"/>
      <c r="J680" s="84"/>
      <c r="N680" s="84"/>
      <c r="R680" s="84"/>
      <c r="V680" s="84"/>
      <c r="Z680" s="84"/>
      <c r="AD680" s="84"/>
      <c r="AH680" s="84"/>
      <c r="AL680" s="84"/>
      <c r="AP680" s="84"/>
      <c r="AT680" s="84"/>
      <c r="AX680" s="84"/>
      <c r="BB680" s="85"/>
      <c r="BC680" s="84"/>
      <c r="BD680" s="84"/>
      <c r="BF680" s="84"/>
      <c r="BL680" s="84"/>
      <c r="BP680" s="86"/>
      <c r="BV680" s="84"/>
      <c r="CA680" s="84"/>
      <c r="CF680" s="84"/>
      <c r="CK680" s="84"/>
      <c r="CP680" s="84"/>
      <c r="CS680" s="86"/>
      <c r="CT680" s="84"/>
      <c r="CW680" s="86"/>
      <c r="CX680" s="84"/>
      <c r="DA680" s="86"/>
      <c r="DB680" s="84"/>
      <c r="DE680" s="86"/>
      <c r="DF680" s="84"/>
      <c r="DI680" s="86"/>
      <c r="DJ680" s="84"/>
      <c r="DM680" s="86"/>
      <c r="DN680" s="84"/>
      <c r="DQ680" s="86"/>
      <c r="DR680" s="85"/>
      <c r="DS680" s="85"/>
      <c r="DT680" s="84"/>
      <c r="DV680" s="84"/>
      <c r="DW680" s="157"/>
      <c r="EB680" s="84"/>
      <c r="EG680" s="84"/>
      <c r="EK680" s="84"/>
      <c r="EO680" s="84"/>
      <c r="ES680" s="84"/>
      <c r="EW680" s="84"/>
    </row>
    <row r="681" customFormat="false" ht="12.75" hidden="false" customHeight="false" outlineLevel="0" collapsed="false">
      <c r="A681" s="37"/>
      <c r="E681" s="83"/>
      <c r="J681" s="84"/>
      <c r="N681" s="84"/>
      <c r="R681" s="84"/>
      <c r="V681" s="84"/>
      <c r="Z681" s="84"/>
      <c r="AD681" s="84"/>
      <c r="AH681" s="84"/>
      <c r="AL681" s="84"/>
      <c r="AP681" s="84"/>
      <c r="AT681" s="84"/>
      <c r="AX681" s="84"/>
      <c r="BB681" s="85"/>
      <c r="BC681" s="84"/>
      <c r="BD681" s="84"/>
      <c r="BF681" s="84"/>
      <c r="BL681" s="84"/>
      <c r="BP681" s="86"/>
      <c r="BV681" s="84"/>
      <c r="CA681" s="84"/>
      <c r="CF681" s="84"/>
      <c r="CK681" s="84"/>
      <c r="CP681" s="84"/>
      <c r="CS681" s="86"/>
      <c r="CT681" s="84"/>
      <c r="CW681" s="86"/>
      <c r="CX681" s="84"/>
      <c r="DA681" s="86"/>
      <c r="DB681" s="84"/>
      <c r="DE681" s="86"/>
      <c r="DF681" s="84"/>
      <c r="DI681" s="86"/>
      <c r="DJ681" s="84"/>
      <c r="DM681" s="86"/>
      <c r="DN681" s="84"/>
      <c r="DQ681" s="86"/>
      <c r="DR681" s="85"/>
      <c r="DS681" s="85"/>
      <c r="DT681" s="84"/>
      <c r="DV681" s="84"/>
      <c r="DW681" s="157"/>
      <c r="EB681" s="84"/>
      <c r="EG681" s="84"/>
      <c r="EK681" s="84"/>
      <c r="EO681" s="84"/>
      <c r="ES681" s="84"/>
      <c r="EW681" s="84"/>
    </row>
    <row r="682" customFormat="false" ht="12.75" hidden="false" customHeight="false" outlineLevel="0" collapsed="false">
      <c r="A682" s="37"/>
      <c r="E682" s="83"/>
      <c r="J682" s="84"/>
      <c r="N682" s="84"/>
      <c r="R682" s="84"/>
      <c r="V682" s="84"/>
      <c r="Z682" s="84"/>
      <c r="AD682" s="84"/>
      <c r="AH682" s="84"/>
      <c r="AL682" s="84"/>
      <c r="AP682" s="84"/>
      <c r="AT682" s="84"/>
      <c r="AX682" s="84"/>
      <c r="BB682" s="85"/>
      <c r="BC682" s="84"/>
      <c r="BD682" s="84"/>
      <c r="BF682" s="84"/>
      <c r="BL682" s="84"/>
      <c r="BP682" s="86"/>
      <c r="BV682" s="84"/>
      <c r="CA682" s="84"/>
      <c r="CF682" s="84"/>
      <c r="CK682" s="84"/>
      <c r="CP682" s="84"/>
      <c r="CS682" s="86"/>
      <c r="CT682" s="84"/>
      <c r="CW682" s="86"/>
      <c r="CX682" s="84"/>
      <c r="DA682" s="86"/>
      <c r="DB682" s="84"/>
      <c r="DE682" s="86"/>
      <c r="DF682" s="84"/>
      <c r="DI682" s="86"/>
      <c r="DJ682" s="84"/>
      <c r="DM682" s="86"/>
      <c r="DN682" s="84"/>
      <c r="DQ682" s="86"/>
      <c r="DR682" s="85"/>
      <c r="DS682" s="85"/>
      <c r="DT682" s="84"/>
      <c r="DV682" s="84"/>
      <c r="DW682" s="157"/>
      <c r="EB682" s="84"/>
      <c r="EG682" s="84"/>
      <c r="EK682" s="84"/>
      <c r="EO682" s="84"/>
      <c r="ES682" s="84"/>
      <c r="EW682" s="84"/>
    </row>
    <row r="683" customFormat="false" ht="12.75" hidden="false" customHeight="false" outlineLevel="0" collapsed="false">
      <c r="A683" s="37"/>
      <c r="E683" s="83"/>
      <c r="J683" s="84"/>
      <c r="N683" s="84"/>
      <c r="R683" s="84"/>
      <c r="V683" s="84"/>
      <c r="Z683" s="84"/>
      <c r="AD683" s="84"/>
      <c r="AH683" s="84"/>
      <c r="AL683" s="84"/>
      <c r="AP683" s="84"/>
      <c r="AT683" s="84"/>
      <c r="AX683" s="84"/>
      <c r="BB683" s="85"/>
      <c r="BC683" s="84"/>
      <c r="BD683" s="84"/>
      <c r="BF683" s="84"/>
      <c r="BL683" s="84"/>
      <c r="BP683" s="86"/>
      <c r="BV683" s="84"/>
      <c r="CA683" s="84"/>
      <c r="CF683" s="84"/>
      <c r="CK683" s="84"/>
      <c r="CP683" s="84"/>
      <c r="CS683" s="86"/>
      <c r="CT683" s="84"/>
      <c r="CW683" s="86"/>
      <c r="CX683" s="84"/>
      <c r="DA683" s="86"/>
      <c r="DB683" s="84"/>
      <c r="DE683" s="86"/>
      <c r="DF683" s="84"/>
      <c r="DI683" s="86"/>
      <c r="DJ683" s="84"/>
      <c r="DM683" s="86"/>
      <c r="DN683" s="84"/>
      <c r="DQ683" s="86"/>
      <c r="DR683" s="85"/>
      <c r="DS683" s="85"/>
      <c r="DT683" s="84"/>
      <c r="DV683" s="84"/>
      <c r="DW683" s="157"/>
      <c r="EB683" s="84"/>
      <c r="EG683" s="84"/>
      <c r="EK683" s="84"/>
      <c r="EO683" s="84"/>
      <c r="ES683" s="84"/>
      <c r="EW683" s="84"/>
    </row>
    <row r="684" customFormat="false" ht="12.75" hidden="false" customHeight="false" outlineLevel="0" collapsed="false">
      <c r="A684" s="37"/>
      <c r="E684" s="83"/>
      <c r="J684" s="84"/>
      <c r="N684" s="84"/>
      <c r="R684" s="84"/>
      <c r="V684" s="84"/>
      <c r="Z684" s="84"/>
      <c r="AD684" s="84"/>
      <c r="AH684" s="84"/>
      <c r="AL684" s="84"/>
      <c r="AP684" s="84"/>
      <c r="AT684" s="84"/>
      <c r="AX684" s="84"/>
      <c r="BB684" s="85"/>
      <c r="BC684" s="84"/>
      <c r="BD684" s="84"/>
      <c r="BF684" s="84"/>
      <c r="BL684" s="84"/>
      <c r="BP684" s="86"/>
      <c r="BV684" s="84"/>
      <c r="CA684" s="84"/>
      <c r="CF684" s="84"/>
      <c r="CK684" s="84"/>
      <c r="CP684" s="84"/>
      <c r="CS684" s="86"/>
      <c r="CT684" s="84"/>
      <c r="CW684" s="86"/>
      <c r="CX684" s="84"/>
      <c r="DA684" s="86"/>
      <c r="DB684" s="84"/>
      <c r="DE684" s="86"/>
      <c r="DF684" s="84"/>
      <c r="DI684" s="86"/>
      <c r="DJ684" s="84"/>
      <c r="DM684" s="86"/>
      <c r="DN684" s="84"/>
      <c r="DQ684" s="86"/>
      <c r="DR684" s="85"/>
      <c r="DS684" s="85"/>
      <c r="DT684" s="84"/>
      <c r="DV684" s="84"/>
      <c r="DW684" s="157"/>
      <c r="EB684" s="84"/>
      <c r="EG684" s="84"/>
      <c r="EK684" s="84"/>
      <c r="EO684" s="84"/>
      <c r="ES684" s="84"/>
      <c r="EW684" s="84"/>
    </row>
    <row r="685" customFormat="false" ht="12.75" hidden="false" customHeight="false" outlineLevel="0" collapsed="false">
      <c r="A685" s="37"/>
      <c r="E685" s="83"/>
      <c r="J685" s="84"/>
      <c r="N685" s="84"/>
      <c r="R685" s="84"/>
      <c r="V685" s="84"/>
      <c r="Z685" s="84"/>
      <c r="AD685" s="84"/>
      <c r="AH685" s="84"/>
      <c r="AL685" s="84"/>
      <c r="AP685" s="84"/>
      <c r="AT685" s="84"/>
      <c r="AX685" s="84"/>
      <c r="BB685" s="85"/>
      <c r="BC685" s="84"/>
      <c r="BD685" s="84"/>
      <c r="BF685" s="84"/>
      <c r="BL685" s="84"/>
      <c r="BP685" s="86"/>
      <c r="BV685" s="84"/>
      <c r="CA685" s="84"/>
      <c r="CF685" s="84"/>
      <c r="CK685" s="84"/>
      <c r="CP685" s="84"/>
      <c r="CS685" s="86"/>
      <c r="CT685" s="84"/>
      <c r="CW685" s="86"/>
      <c r="CX685" s="84"/>
      <c r="DA685" s="86"/>
      <c r="DB685" s="84"/>
      <c r="DE685" s="86"/>
      <c r="DF685" s="84"/>
      <c r="DI685" s="86"/>
      <c r="DJ685" s="84"/>
      <c r="DM685" s="86"/>
      <c r="DN685" s="84"/>
      <c r="DQ685" s="86"/>
      <c r="DR685" s="85"/>
      <c r="DS685" s="85"/>
      <c r="DT685" s="84"/>
      <c r="DV685" s="84"/>
      <c r="DW685" s="157"/>
      <c r="EB685" s="84"/>
      <c r="EG685" s="84"/>
      <c r="EK685" s="84"/>
      <c r="EO685" s="84"/>
      <c r="ES685" s="84"/>
      <c r="EW685" s="84"/>
    </row>
    <row r="686" customFormat="false" ht="12.75" hidden="false" customHeight="false" outlineLevel="0" collapsed="false">
      <c r="A686" s="37"/>
      <c r="E686" s="83"/>
      <c r="J686" s="84"/>
      <c r="N686" s="84"/>
      <c r="R686" s="84"/>
      <c r="V686" s="84"/>
      <c r="Z686" s="84"/>
      <c r="AD686" s="84"/>
      <c r="AH686" s="84"/>
      <c r="AL686" s="84"/>
      <c r="AP686" s="84"/>
      <c r="AT686" s="84"/>
      <c r="AX686" s="84"/>
      <c r="BB686" s="85"/>
      <c r="BC686" s="84"/>
      <c r="BD686" s="84"/>
      <c r="BF686" s="84"/>
      <c r="BL686" s="84"/>
      <c r="BP686" s="86"/>
      <c r="BV686" s="84"/>
      <c r="CA686" s="84"/>
      <c r="CF686" s="84"/>
      <c r="CK686" s="84"/>
      <c r="CP686" s="84"/>
      <c r="CS686" s="86"/>
      <c r="CT686" s="84"/>
      <c r="CW686" s="86"/>
      <c r="CX686" s="84"/>
      <c r="DA686" s="86"/>
      <c r="DB686" s="84"/>
      <c r="DE686" s="86"/>
      <c r="DF686" s="84"/>
      <c r="DI686" s="86"/>
      <c r="DJ686" s="84"/>
      <c r="DM686" s="86"/>
      <c r="DN686" s="84"/>
      <c r="DQ686" s="86"/>
      <c r="DR686" s="85"/>
      <c r="DS686" s="85"/>
      <c r="DT686" s="84"/>
      <c r="DV686" s="84"/>
      <c r="DW686" s="157"/>
      <c r="EB686" s="84"/>
      <c r="EG686" s="84"/>
      <c r="EK686" s="84"/>
      <c r="EO686" s="84"/>
      <c r="ES686" s="84"/>
      <c r="EW686" s="84"/>
    </row>
    <row r="687" customFormat="false" ht="12.75" hidden="false" customHeight="false" outlineLevel="0" collapsed="false">
      <c r="A687" s="37"/>
      <c r="E687" s="83"/>
      <c r="J687" s="84"/>
      <c r="N687" s="84"/>
      <c r="R687" s="84"/>
      <c r="V687" s="84"/>
      <c r="Z687" s="84"/>
      <c r="AD687" s="84"/>
      <c r="AH687" s="84"/>
      <c r="AL687" s="84"/>
      <c r="AP687" s="84"/>
      <c r="AT687" s="84"/>
      <c r="AX687" s="84"/>
      <c r="BB687" s="85"/>
      <c r="BC687" s="84"/>
      <c r="BD687" s="84"/>
      <c r="BF687" s="84"/>
      <c r="BL687" s="84"/>
      <c r="BP687" s="86"/>
      <c r="BV687" s="84"/>
      <c r="CA687" s="84"/>
      <c r="CF687" s="84"/>
      <c r="CK687" s="84"/>
      <c r="CP687" s="84"/>
      <c r="CS687" s="86"/>
      <c r="CT687" s="84"/>
      <c r="CW687" s="86"/>
      <c r="CX687" s="84"/>
      <c r="DA687" s="86"/>
      <c r="DB687" s="84"/>
      <c r="DE687" s="86"/>
      <c r="DF687" s="84"/>
      <c r="DI687" s="86"/>
      <c r="DJ687" s="84"/>
      <c r="DM687" s="86"/>
      <c r="DN687" s="84"/>
      <c r="DQ687" s="86"/>
      <c r="DR687" s="85"/>
      <c r="DS687" s="85"/>
      <c r="DT687" s="84"/>
      <c r="DV687" s="84"/>
      <c r="DW687" s="157"/>
      <c r="EB687" s="84"/>
      <c r="EG687" s="84"/>
      <c r="EK687" s="84"/>
      <c r="EO687" s="84"/>
      <c r="ES687" s="84"/>
      <c r="EW687" s="84"/>
    </row>
    <row r="688" customFormat="false" ht="12.75" hidden="false" customHeight="false" outlineLevel="0" collapsed="false">
      <c r="A688" s="37"/>
      <c r="E688" s="83"/>
      <c r="J688" s="84"/>
      <c r="N688" s="84"/>
      <c r="R688" s="84"/>
      <c r="V688" s="84"/>
      <c r="Z688" s="84"/>
      <c r="AD688" s="84"/>
      <c r="AH688" s="84"/>
      <c r="AL688" s="84"/>
      <c r="AP688" s="84"/>
      <c r="AT688" s="84"/>
      <c r="AX688" s="84"/>
      <c r="BB688" s="85"/>
      <c r="BC688" s="84"/>
      <c r="BD688" s="84"/>
      <c r="BF688" s="84"/>
      <c r="BL688" s="84"/>
      <c r="BP688" s="86"/>
      <c r="BV688" s="84"/>
      <c r="CA688" s="84"/>
      <c r="CF688" s="84"/>
      <c r="CK688" s="84"/>
      <c r="CP688" s="84"/>
      <c r="CS688" s="86"/>
      <c r="CT688" s="84"/>
      <c r="CW688" s="86"/>
      <c r="CX688" s="84"/>
      <c r="DA688" s="86"/>
      <c r="DB688" s="84"/>
      <c r="DE688" s="86"/>
      <c r="DF688" s="84"/>
      <c r="DI688" s="86"/>
      <c r="DJ688" s="84"/>
      <c r="DM688" s="86"/>
      <c r="DN688" s="84"/>
      <c r="DQ688" s="86"/>
      <c r="DR688" s="85"/>
      <c r="DS688" s="85"/>
      <c r="DT688" s="84"/>
      <c r="DV688" s="84"/>
      <c r="DW688" s="157"/>
      <c r="EB688" s="84"/>
      <c r="EG688" s="84"/>
      <c r="EK688" s="84"/>
      <c r="EO688" s="84"/>
      <c r="ES688" s="84"/>
      <c r="EW688" s="84"/>
    </row>
    <row r="689" customFormat="false" ht="12.75" hidden="false" customHeight="false" outlineLevel="0" collapsed="false">
      <c r="A689" s="37"/>
      <c r="E689" s="83"/>
      <c r="J689" s="84"/>
      <c r="N689" s="84"/>
      <c r="R689" s="84"/>
      <c r="V689" s="84"/>
      <c r="Z689" s="84"/>
      <c r="AD689" s="84"/>
      <c r="AH689" s="84"/>
      <c r="AL689" s="84"/>
      <c r="AP689" s="84"/>
      <c r="AT689" s="84"/>
      <c r="AX689" s="84"/>
      <c r="BB689" s="85"/>
      <c r="BC689" s="84"/>
      <c r="BD689" s="84"/>
      <c r="BF689" s="84"/>
      <c r="BL689" s="84"/>
      <c r="BP689" s="86"/>
      <c r="BV689" s="84"/>
      <c r="CA689" s="84"/>
      <c r="CF689" s="84"/>
      <c r="CK689" s="84"/>
      <c r="CP689" s="84"/>
      <c r="CS689" s="86"/>
      <c r="CT689" s="84"/>
      <c r="CW689" s="86"/>
      <c r="CX689" s="84"/>
      <c r="DA689" s="86"/>
      <c r="DB689" s="84"/>
      <c r="DE689" s="86"/>
      <c r="DF689" s="84"/>
      <c r="DI689" s="86"/>
      <c r="DJ689" s="84"/>
      <c r="DM689" s="86"/>
      <c r="DN689" s="84"/>
      <c r="DQ689" s="86"/>
      <c r="DR689" s="85"/>
      <c r="DS689" s="85"/>
      <c r="DT689" s="84"/>
      <c r="DV689" s="84"/>
      <c r="DW689" s="157"/>
      <c r="EB689" s="84"/>
      <c r="EG689" s="84"/>
      <c r="EK689" s="84"/>
      <c r="EO689" s="84"/>
      <c r="ES689" s="84"/>
      <c r="EW689" s="84"/>
    </row>
    <row r="690" customFormat="false" ht="12.75" hidden="false" customHeight="false" outlineLevel="0" collapsed="false">
      <c r="A690" s="37"/>
      <c r="E690" s="83"/>
      <c r="J690" s="84"/>
      <c r="N690" s="84"/>
      <c r="R690" s="84"/>
      <c r="V690" s="84"/>
      <c r="Z690" s="84"/>
      <c r="AD690" s="84"/>
      <c r="AH690" s="84"/>
      <c r="AL690" s="84"/>
      <c r="AP690" s="84"/>
      <c r="AT690" s="84"/>
      <c r="AX690" s="84"/>
      <c r="BB690" s="85"/>
      <c r="BC690" s="84"/>
      <c r="BD690" s="84"/>
      <c r="BF690" s="84"/>
      <c r="BL690" s="84"/>
      <c r="BP690" s="86"/>
      <c r="BV690" s="84"/>
      <c r="CA690" s="84"/>
      <c r="CF690" s="84"/>
      <c r="CK690" s="84"/>
      <c r="CP690" s="84"/>
      <c r="CS690" s="86"/>
      <c r="CT690" s="84"/>
      <c r="CW690" s="86"/>
      <c r="CX690" s="84"/>
      <c r="DA690" s="86"/>
      <c r="DB690" s="84"/>
      <c r="DE690" s="86"/>
      <c r="DF690" s="84"/>
      <c r="DI690" s="86"/>
      <c r="DJ690" s="84"/>
      <c r="DM690" s="86"/>
      <c r="DN690" s="84"/>
      <c r="DQ690" s="86"/>
      <c r="DR690" s="85"/>
      <c r="DS690" s="85"/>
      <c r="DT690" s="84"/>
      <c r="DV690" s="84"/>
      <c r="DW690" s="157"/>
      <c r="EB690" s="84"/>
      <c r="EG690" s="84"/>
      <c r="EK690" s="84"/>
      <c r="EO690" s="84"/>
      <c r="ES690" s="84"/>
      <c r="EW690" s="84"/>
    </row>
    <row r="691" customFormat="false" ht="12.75" hidden="false" customHeight="false" outlineLevel="0" collapsed="false">
      <c r="A691" s="37"/>
      <c r="E691" s="83"/>
      <c r="J691" s="84"/>
      <c r="N691" s="84"/>
      <c r="R691" s="84"/>
      <c r="V691" s="84"/>
      <c r="Z691" s="84"/>
      <c r="AD691" s="84"/>
      <c r="AH691" s="84"/>
      <c r="AL691" s="84"/>
      <c r="AP691" s="84"/>
      <c r="AT691" s="84"/>
      <c r="AX691" s="84"/>
      <c r="BB691" s="85"/>
      <c r="BC691" s="84"/>
      <c r="BD691" s="84"/>
      <c r="BF691" s="84"/>
      <c r="BL691" s="84"/>
      <c r="BP691" s="86"/>
      <c r="BV691" s="84"/>
      <c r="CA691" s="84"/>
      <c r="CF691" s="84"/>
      <c r="CK691" s="84"/>
      <c r="CP691" s="84"/>
      <c r="CS691" s="86"/>
      <c r="CT691" s="84"/>
      <c r="CW691" s="86"/>
      <c r="CX691" s="84"/>
      <c r="DA691" s="86"/>
      <c r="DB691" s="84"/>
      <c r="DE691" s="86"/>
      <c r="DF691" s="84"/>
      <c r="DI691" s="86"/>
      <c r="DJ691" s="84"/>
      <c r="DM691" s="86"/>
      <c r="DN691" s="84"/>
      <c r="DQ691" s="86"/>
      <c r="DR691" s="85"/>
      <c r="DS691" s="85"/>
      <c r="DT691" s="84"/>
      <c r="DV691" s="84"/>
      <c r="DW691" s="157"/>
      <c r="EB691" s="84"/>
      <c r="EG691" s="84"/>
      <c r="EK691" s="84"/>
      <c r="EO691" s="84"/>
      <c r="ES691" s="84"/>
      <c r="EW691" s="84"/>
    </row>
    <row r="692" customFormat="false" ht="12.75" hidden="false" customHeight="false" outlineLevel="0" collapsed="false">
      <c r="A692" s="37"/>
      <c r="E692" s="83"/>
      <c r="J692" s="84"/>
      <c r="N692" s="84"/>
      <c r="R692" s="84"/>
      <c r="V692" s="84"/>
      <c r="Z692" s="84"/>
      <c r="AD692" s="84"/>
      <c r="AH692" s="84"/>
      <c r="AL692" s="84"/>
      <c r="AP692" s="84"/>
      <c r="AT692" s="84"/>
      <c r="AX692" s="84"/>
      <c r="BB692" s="85"/>
      <c r="BC692" s="84"/>
      <c r="BD692" s="84"/>
      <c r="BF692" s="84"/>
      <c r="BL692" s="84"/>
      <c r="BP692" s="86"/>
      <c r="BV692" s="84"/>
      <c r="CA692" s="84"/>
      <c r="CF692" s="84"/>
      <c r="CK692" s="84"/>
      <c r="CP692" s="84"/>
      <c r="CS692" s="86"/>
      <c r="CT692" s="84"/>
      <c r="CW692" s="86"/>
      <c r="CX692" s="84"/>
      <c r="DA692" s="86"/>
      <c r="DB692" s="84"/>
      <c r="DE692" s="86"/>
      <c r="DF692" s="84"/>
      <c r="DI692" s="86"/>
      <c r="DJ692" s="84"/>
      <c r="DM692" s="86"/>
      <c r="DN692" s="84"/>
      <c r="DQ692" s="86"/>
      <c r="DR692" s="85"/>
      <c r="DS692" s="85"/>
      <c r="DT692" s="84"/>
      <c r="DV692" s="84"/>
      <c r="DW692" s="157"/>
      <c r="EB692" s="84"/>
      <c r="EG692" s="84"/>
      <c r="EK692" s="84"/>
      <c r="EO692" s="84"/>
      <c r="ES692" s="84"/>
      <c r="EW692" s="84"/>
    </row>
    <row r="693" customFormat="false" ht="12.75" hidden="false" customHeight="false" outlineLevel="0" collapsed="false">
      <c r="A693" s="37"/>
      <c r="E693" s="83"/>
      <c r="J693" s="84"/>
      <c r="N693" s="84"/>
      <c r="R693" s="84"/>
      <c r="V693" s="84"/>
      <c r="Z693" s="84"/>
      <c r="AD693" s="84"/>
      <c r="AH693" s="84"/>
      <c r="AL693" s="84"/>
      <c r="AP693" s="84"/>
      <c r="AT693" s="84"/>
      <c r="AX693" s="84"/>
      <c r="BB693" s="85"/>
      <c r="BC693" s="84"/>
      <c r="BD693" s="84"/>
      <c r="BF693" s="84"/>
      <c r="BL693" s="84"/>
      <c r="BP693" s="86"/>
      <c r="BV693" s="84"/>
      <c r="CA693" s="84"/>
      <c r="CF693" s="84"/>
      <c r="CK693" s="84"/>
      <c r="CP693" s="84"/>
      <c r="CS693" s="86"/>
      <c r="CT693" s="84"/>
      <c r="CW693" s="86"/>
      <c r="CX693" s="84"/>
      <c r="DA693" s="86"/>
      <c r="DB693" s="84"/>
      <c r="DE693" s="86"/>
      <c r="DF693" s="84"/>
      <c r="DI693" s="86"/>
      <c r="DJ693" s="84"/>
      <c r="DM693" s="86"/>
      <c r="DN693" s="84"/>
      <c r="DQ693" s="86"/>
      <c r="DR693" s="85"/>
      <c r="DS693" s="85"/>
      <c r="DT693" s="84"/>
      <c r="DV693" s="84"/>
      <c r="DW693" s="157"/>
      <c r="EB693" s="84"/>
      <c r="EG693" s="84"/>
      <c r="EK693" s="84"/>
      <c r="EO693" s="84"/>
      <c r="ES693" s="84"/>
      <c r="EW693" s="84"/>
    </row>
    <row r="694" customFormat="false" ht="12.75" hidden="false" customHeight="false" outlineLevel="0" collapsed="false">
      <c r="A694" s="37"/>
      <c r="E694" s="83"/>
      <c r="J694" s="84"/>
      <c r="N694" s="84"/>
      <c r="R694" s="84"/>
      <c r="V694" s="84"/>
      <c r="Z694" s="84"/>
      <c r="AD694" s="84"/>
      <c r="AH694" s="84"/>
      <c r="AL694" s="84"/>
      <c r="AP694" s="84"/>
      <c r="AT694" s="84"/>
      <c r="AX694" s="84"/>
      <c r="BB694" s="85"/>
      <c r="BC694" s="84"/>
      <c r="BD694" s="84"/>
      <c r="BF694" s="84"/>
      <c r="BL694" s="84"/>
      <c r="BP694" s="86"/>
      <c r="BV694" s="84"/>
      <c r="CA694" s="84"/>
      <c r="CF694" s="84"/>
      <c r="CK694" s="84"/>
      <c r="CP694" s="84"/>
      <c r="CS694" s="86"/>
      <c r="CT694" s="84"/>
      <c r="CW694" s="86"/>
      <c r="CX694" s="84"/>
      <c r="DA694" s="86"/>
      <c r="DB694" s="84"/>
      <c r="DE694" s="86"/>
      <c r="DF694" s="84"/>
      <c r="DI694" s="86"/>
      <c r="DJ694" s="84"/>
      <c r="DM694" s="86"/>
      <c r="DN694" s="84"/>
      <c r="DQ694" s="86"/>
      <c r="DR694" s="85"/>
      <c r="DS694" s="85"/>
      <c r="DT694" s="84"/>
      <c r="DV694" s="84"/>
      <c r="DW694" s="157"/>
      <c r="EB694" s="84"/>
      <c r="EG694" s="84"/>
      <c r="EK694" s="84"/>
      <c r="EO694" s="84"/>
      <c r="ES694" s="84"/>
      <c r="EW694" s="84"/>
    </row>
    <row r="695" customFormat="false" ht="12.75" hidden="false" customHeight="false" outlineLevel="0" collapsed="false">
      <c r="A695" s="37"/>
      <c r="E695" s="83"/>
      <c r="J695" s="84"/>
      <c r="N695" s="84"/>
      <c r="R695" s="84"/>
      <c r="V695" s="84"/>
      <c r="Z695" s="84"/>
      <c r="AD695" s="84"/>
      <c r="AH695" s="84"/>
      <c r="AL695" s="84"/>
      <c r="AP695" s="84"/>
      <c r="AT695" s="84"/>
      <c r="AX695" s="84"/>
      <c r="BB695" s="85"/>
      <c r="BC695" s="84"/>
      <c r="BD695" s="84"/>
      <c r="BF695" s="84"/>
      <c r="BL695" s="84"/>
      <c r="BP695" s="86"/>
      <c r="BV695" s="84"/>
      <c r="CA695" s="84"/>
      <c r="CF695" s="84"/>
      <c r="CK695" s="84"/>
      <c r="CP695" s="84"/>
      <c r="CS695" s="86"/>
      <c r="CT695" s="84"/>
      <c r="CW695" s="86"/>
      <c r="CX695" s="84"/>
      <c r="DA695" s="86"/>
      <c r="DB695" s="84"/>
      <c r="DE695" s="86"/>
      <c r="DF695" s="84"/>
      <c r="DI695" s="86"/>
      <c r="DJ695" s="84"/>
      <c r="DM695" s="86"/>
      <c r="DN695" s="84"/>
      <c r="DQ695" s="86"/>
      <c r="DR695" s="85"/>
      <c r="DS695" s="85"/>
      <c r="DT695" s="84"/>
      <c r="DV695" s="84"/>
      <c r="DW695" s="157"/>
      <c r="EB695" s="84"/>
      <c r="EG695" s="84"/>
      <c r="EK695" s="84"/>
      <c r="EO695" s="84"/>
      <c r="ES695" s="84"/>
      <c r="EW695" s="84"/>
    </row>
    <row r="696" customFormat="false" ht="12.75" hidden="false" customHeight="false" outlineLevel="0" collapsed="false">
      <c r="A696" s="37"/>
      <c r="E696" s="83"/>
      <c r="J696" s="84"/>
      <c r="N696" s="84"/>
      <c r="R696" s="84"/>
      <c r="V696" s="84"/>
      <c r="Z696" s="84"/>
      <c r="AD696" s="84"/>
      <c r="AH696" s="84"/>
      <c r="AL696" s="84"/>
      <c r="AP696" s="84"/>
      <c r="AT696" s="84"/>
      <c r="AX696" s="84"/>
      <c r="BB696" s="85"/>
      <c r="BC696" s="84"/>
      <c r="BD696" s="84"/>
      <c r="BF696" s="84"/>
      <c r="BL696" s="84"/>
      <c r="BP696" s="86"/>
      <c r="BV696" s="84"/>
      <c r="CA696" s="84"/>
      <c r="CF696" s="84"/>
      <c r="CK696" s="84"/>
      <c r="CP696" s="84"/>
      <c r="CS696" s="86"/>
      <c r="CT696" s="84"/>
      <c r="CW696" s="86"/>
      <c r="CX696" s="84"/>
      <c r="DA696" s="86"/>
      <c r="DB696" s="84"/>
      <c r="DE696" s="86"/>
      <c r="DF696" s="84"/>
      <c r="DI696" s="86"/>
      <c r="DJ696" s="84"/>
      <c r="DM696" s="86"/>
      <c r="DN696" s="84"/>
      <c r="DQ696" s="86"/>
      <c r="DR696" s="85"/>
      <c r="DS696" s="85"/>
      <c r="DT696" s="84"/>
      <c r="DV696" s="84"/>
      <c r="DW696" s="157"/>
      <c r="EB696" s="84"/>
      <c r="EG696" s="84"/>
      <c r="EK696" s="84"/>
      <c r="EO696" s="84"/>
      <c r="ES696" s="84"/>
      <c r="EW696" s="84"/>
    </row>
    <row r="697" customFormat="false" ht="12.75" hidden="false" customHeight="false" outlineLevel="0" collapsed="false">
      <c r="A697" s="37"/>
      <c r="E697" s="83"/>
      <c r="J697" s="84"/>
      <c r="N697" s="84"/>
      <c r="R697" s="84"/>
      <c r="V697" s="84"/>
      <c r="Z697" s="84"/>
      <c r="AD697" s="84"/>
      <c r="AH697" s="84"/>
      <c r="AL697" s="84"/>
      <c r="AP697" s="84"/>
      <c r="AT697" s="84"/>
      <c r="AX697" s="84"/>
      <c r="BB697" s="85"/>
      <c r="BC697" s="84"/>
      <c r="BD697" s="84"/>
      <c r="BF697" s="84"/>
      <c r="BL697" s="84"/>
      <c r="BP697" s="86"/>
      <c r="BV697" s="84"/>
      <c r="CA697" s="84"/>
      <c r="CF697" s="84"/>
      <c r="CK697" s="84"/>
      <c r="CP697" s="84"/>
      <c r="CS697" s="86"/>
      <c r="CT697" s="84"/>
      <c r="CW697" s="86"/>
      <c r="CX697" s="84"/>
      <c r="DA697" s="86"/>
      <c r="DB697" s="84"/>
      <c r="DE697" s="86"/>
      <c r="DF697" s="84"/>
      <c r="DI697" s="86"/>
      <c r="DJ697" s="84"/>
      <c r="DM697" s="86"/>
      <c r="DN697" s="84"/>
      <c r="DQ697" s="86"/>
      <c r="DR697" s="85"/>
      <c r="DS697" s="85"/>
      <c r="DT697" s="84"/>
      <c r="DV697" s="84"/>
      <c r="DW697" s="157"/>
      <c r="EB697" s="84"/>
      <c r="EG697" s="84"/>
      <c r="EK697" s="84"/>
      <c r="EO697" s="84"/>
      <c r="ES697" s="84"/>
      <c r="EW697" s="84"/>
    </row>
    <row r="698" customFormat="false" ht="12.75" hidden="false" customHeight="false" outlineLevel="0" collapsed="false">
      <c r="A698" s="37"/>
      <c r="E698" s="83"/>
      <c r="J698" s="84"/>
      <c r="N698" s="84"/>
      <c r="R698" s="84"/>
      <c r="V698" s="84"/>
      <c r="Z698" s="84"/>
      <c r="AD698" s="84"/>
      <c r="AH698" s="84"/>
      <c r="AL698" s="84"/>
      <c r="AP698" s="84"/>
      <c r="AT698" s="84"/>
      <c r="AX698" s="84"/>
      <c r="BB698" s="85"/>
      <c r="BC698" s="84"/>
      <c r="BD698" s="84"/>
      <c r="BF698" s="84"/>
      <c r="BL698" s="84"/>
      <c r="BP698" s="86"/>
      <c r="BV698" s="84"/>
      <c r="CA698" s="84"/>
      <c r="CF698" s="84"/>
      <c r="CK698" s="84"/>
      <c r="CP698" s="84"/>
      <c r="CS698" s="86"/>
      <c r="CT698" s="84"/>
      <c r="CW698" s="86"/>
      <c r="CX698" s="84"/>
      <c r="DA698" s="86"/>
      <c r="DB698" s="84"/>
      <c r="DE698" s="86"/>
      <c r="DF698" s="84"/>
      <c r="DI698" s="86"/>
      <c r="DJ698" s="84"/>
      <c r="DM698" s="86"/>
      <c r="DN698" s="84"/>
      <c r="DQ698" s="86"/>
      <c r="DR698" s="85"/>
      <c r="DS698" s="85"/>
      <c r="DT698" s="84"/>
      <c r="DV698" s="84"/>
      <c r="DW698" s="157"/>
      <c r="EB698" s="84"/>
      <c r="EG698" s="84"/>
      <c r="EK698" s="84"/>
      <c r="EO698" s="84"/>
      <c r="ES698" s="84"/>
      <c r="EW698" s="84"/>
    </row>
    <row r="699" customFormat="false" ht="12.75" hidden="false" customHeight="false" outlineLevel="0" collapsed="false">
      <c r="A699" s="37"/>
      <c r="E699" s="83"/>
      <c r="J699" s="84"/>
      <c r="N699" s="84"/>
      <c r="R699" s="84"/>
      <c r="V699" s="84"/>
      <c r="Z699" s="84"/>
      <c r="AD699" s="84"/>
      <c r="AH699" s="84"/>
      <c r="AL699" s="84"/>
      <c r="AP699" s="84"/>
      <c r="AT699" s="84"/>
      <c r="AX699" s="84"/>
      <c r="BB699" s="85"/>
      <c r="BC699" s="84"/>
      <c r="BD699" s="84"/>
      <c r="BF699" s="84"/>
      <c r="BL699" s="84"/>
      <c r="BP699" s="86"/>
      <c r="BV699" s="84"/>
      <c r="CA699" s="84"/>
      <c r="CF699" s="84"/>
      <c r="CK699" s="84"/>
      <c r="CP699" s="84"/>
      <c r="CS699" s="86"/>
      <c r="CT699" s="84"/>
      <c r="CW699" s="86"/>
      <c r="CX699" s="84"/>
      <c r="DA699" s="86"/>
      <c r="DB699" s="84"/>
      <c r="DE699" s="86"/>
      <c r="DF699" s="84"/>
      <c r="DI699" s="86"/>
      <c r="DJ699" s="84"/>
      <c r="DM699" s="86"/>
      <c r="DN699" s="84"/>
      <c r="DQ699" s="86"/>
      <c r="DR699" s="85"/>
      <c r="DS699" s="85"/>
      <c r="DT699" s="84"/>
      <c r="DV699" s="84"/>
      <c r="DW699" s="157"/>
      <c r="EB699" s="84"/>
      <c r="EG699" s="84"/>
      <c r="EK699" s="84"/>
      <c r="EO699" s="84"/>
      <c r="ES699" s="84"/>
      <c r="EW699" s="84"/>
    </row>
    <row r="700" customFormat="false" ht="12.75" hidden="false" customHeight="false" outlineLevel="0" collapsed="false">
      <c r="A700" s="37"/>
      <c r="E700" s="83"/>
      <c r="J700" s="84"/>
      <c r="N700" s="84"/>
      <c r="R700" s="84"/>
      <c r="V700" s="84"/>
      <c r="Z700" s="84"/>
      <c r="AD700" s="84"/>
      <c r="AH700" s="84"/>
      <c r="AL700" s="84"/>
      <c r="AP700" s="84"/>
      <c r="AT700" s="84"/>
      <c r="AX700" s="84"/>
      <c r="BB700" s="85"/>
      <c r="BC700" s="84"/>
      <c r="BD700" s="84"/>
      <c r="BF700" s="84"/>
      <c r="BL700" s="84"/>
      <c r="BP700" s="86"/>
      <c r="BV700" s="84"/>
      <c r="CA700" s="84"/>
      <c r="CF700" s="84"/>
      <c r="CK700" s="84"/>
      <c r="CP700" s="84"/>
      <c r="CS700" s="86"/>
      <c r="CT700" s="84"/>
      <c r="CW700" s="86"/>
      <c r="CX700" s="84"/>
      <c r="DA700" s="86"/>
      <c r="DB700" s="84"/>
      <c r="DE700" s="86"/>
      <c r="DF700" s="84"/>
      <c r="DI700" s="86"/>
      <c r="DJ700" s="84"/>
      <c r="DM700" s="86"/>
      <c r="DN700" s="84"/>
      <c r="DQ700" s="86"/>
      <c r="DR700" s="85"/>
      <c r="DS700" s="85"/>
      <c r="DT700" s="84"/>
      <c r="DV700" s="84"/>
      <c r="DW700" s="157"/>
      <c r="EB700" s="84"/>
      <c r="EG700" s="84"/>
      <c r="EK700" s="84"/>
      <c r="EO700" s="84"/>
      <c r="ES700" s="84"/>
      <c r="EW700" s="84"/>
    </row>
    <row r="701" customFormat="false" ht="12.75" hidden="false" customHeight="false" outlineLevel="0" collapsed="false">
      <c r="A701" s="37"/>
      <c r="E701" s="83"/>
      <c r="J701" s="84"/>
      <c r="N701" s="84"/>
      <c r="R701" s="84"/>
      <c r="V701" s="84"/>
      <c r="Z701" s="84"/>
      <c r="AD701" s="84"/>
      <c r="AH701" s="84"/>
      <c r="AL701" s="84"/>
      <c r="AP701" s="84"/>
      <c r="AT701" s="84"/>
      <c r="AX701" s="84"/>
      <c r="BB701" s="85"/>
      <c r="BC701" s="84"/>
      <c r="BD701" s="84"/>
      <c r="BF701" s="84"/>
      <c r="BL701" s="84"/>
      <c r="BP701" s="86"/>
      <c r="BV701" s="84"/>
      <c r="CA701" s="84"/>
      <c r="CF701" s="84"/>
      <c r="CK701" s="84"/>
      <c r="CP701" s="84"/>
      <c r="CS701" s="86"/>
      <c r="CT701" s="84"/>
      <c r="CW701" s="86"/>
      <c r="CX701" s="84"/>
      <c r="DA701" s="86"/>
      <c r="DB701" s="84"/>
      <c r="DE701" s="86"/>
      <c r="DF701" s="84"/>
      <c r="DI701" s="86"/>
      <c r="DJ701" s="84"/>
      <c r="DM701" s="86"/>
      <c r="DN701" s="84"/>
      <c r="DQ701" s="86"/>
      <c r="DR701" s="85"/>
      <c r="DS701" s="85"/>
      <c r="DT701" s="84"/>
      <c r="DV701" s="84"/>
      <c r="DW701" s="157"/>
      <c r="EB701" s="84"/>
      <c r="EG701" s="84"/>
      <c r="EK701" s="84"/>
      <c r="EO701" s="84"/>
      <c r="ES701" s="84"/>
      <c r="EW701" s="84"/>
    </row>
    <row r="702" customFormat="false" ht="12.75" hidden="false" customHeight="false" outlineLevel="0" collapsed="false">
      <c r="A702" s="37"/>
      <c r="E702" s="83"/>
      <c r="J702" s="84"/>
      <c r="N702" s="84"/>
      <c r="R702" s="84"/>
      <c r="V702" s="84"/>
      <c r="Z702" s="84"/>
      <c r="AD702" s="84"/>
      <c r="AH702" s="84"/>
      <c r="AL702" s="84"/>
      <c r="AP702" s="84"/>
      <c r="AT702" s="84"/>
      <c r="AX702" s="84"/>
      <c r="BB702" s="85"/>
      <c r="BC702" s="84"/>
      <c r="BD702" s="84"/>
      <c r="BF702" s="84"/>
      <c r="BL702" s="84"/>
      <c r="BP702" s="86"/>
      <c r="BV702" s="84"/>
      <c r="CA702" s="84"/>
      <c r="CF702" s="84"/>
      <c r="CK702" s="84"/>
      <c r="CP702" s="84"/>
      <c r="CS702" s="86"/>
      <c r="CT702" s="84"/>
      <c r="CW702" s="86"/>
      <c r="CX702" s="84"/>
      <c r="DA702" s="86"/>
      <c r="DB702" s="84"/>
      <c r="DE702" s="86"/>
      <c r="DF702" s="84"/>
      <c r="DI702" s="86"/>
      <c r="DJ702" s="84"/>
      <c r="DM702" s="86"/>
      <c r="DN702" s="84"/>
      <c r="DQ702" s="86"/>
      <c r="DR702" s="85"/>
      <c r="DS702" s="85"/>
      <c r="DT702" s="84"/>
      <c r="DV702" s="84"/>
      <c r="DW702" s="157"/>
      <c r="EB702" s="84"/>
      <c r="EG702" s="84"/>
      <c r="EK702" s="84"/>
      <c r="EO702" s="84"/>
      <c r="ES702" s="84"/>
      <c r="EW702" s="84"/>
    </row>
    <row r="703" customFormat="false" ht="12.75" hidden="false" customHeight="false" outlineLevel="0" collapsed="false">
      <c r="A703" s="37"/>
      <c r="E703" s="83"/>
      <c r="J703" s="84"/>
      <c r="N703" s="84"/>
      <c r="R703" s="84"/>
      <c r="V703" s="84"/>
      <c r="Z703" s="84"/>
      <c r="AD703" s="84"/>
      <c r="AH703" s="84"/>
      <c r="AL703" s="84"/>
      <c r="AP703" s="84"/>
      <c r="AT703" s="84"/>
      <c r="AX703" s="84"/>
      <c r="BB703" s="85"/>
      <c r="BC703" s="84"/>
      <c r="BD703" s="84"/>
      <c r="BF703" s="84"/>
      <c r="BL703" s="84"/>
      <c r="BP703" s="86"/>
      <c r="BV703" s="84"/>
      <c r="CA703" s="84"/>
      <c r="CF703" s="84"/>
      <c r="CK703" s="84"/>
      <c r="CP703" s="84"/>
      <c r="CS703" s="86"/>
      <c r="CT703" s="84"/>
      <c r="CW703" s="86"/>
      <c r="CX703" s="84"/>
      <c r="DA703" s="86"/>
      <c r="DB703" s="84"/>
      <c r="DE703" s="86"/>
      <c r="DF703" s="84"/>
      <c r="DI703" s="86"/>
      <c r="DJ703" s="84"/>
      <c r="DM703" s="86"/>
      <c r="DN703" s="84"/>
      <c r="DQ703" s="86"/>
      <c r="DR703" s="85"/>
      <c r="DS703" s="85"/>
      <c r="DT703" s="84"/>
      <c r="DV703" s="84"/>
      <c r="DW703" s="157"/>
      <c r="EB703" s="84"/>
      <c r="EG703" s="84"/>
      <c r="EK703" s="84"/>
      <c r="EO703" s="84"/>
      <c r="ES703" s="84"/>
      <c r="EW703" s="84"/>
    </row>
    <row r="704" customFormat="false" ht="12.75" hidden="false" customHeight="false" outlineLevel="0" collapsed="false">
      <c r="A704" s="37"/>
      <c r="E704" s="83"/>
      <c r="J704" s="84"/>
      <c r="N704" s="84"/>
      <c r="R704" s="84"/>
      <c r="V704" s="84"/>
      <c r="Z704" s="84"/>
      <c r="AD704" s="84"/>
      <c r="AH704" s="84"/>
      <c r="AL704" s="84"/>
      <c r="AP704" s="84"/>
      <c r="AT704" s="84"/>
      <c r="AX704" s="84"/>
      <c r="BB704" s="85"/>
      <c r="BC704" s="84"/>
      <c r="BD704" s="84"/>
      <c r="BF704" s="84"/>
      <c r="BL704" s="84"/>
      <c r="BP704" s="86"/>
      <c r="BV704" s="84"/>
      <c r="CA704" s="84"/>
      <c r="CF704" s="84"/>
      <c r="CK704" s="84"/>
      <c r="CP704" s="84"/>
      <c r="CS704" s="86"/>
      <c r="CT704" s="84"/>
      <c r="CW704" s="86"/>
      <c r="CX704" s="84"/>
      <c r="DA704" s="86"/>
      <c r="DB704" s="84"/>
      <c r="DE704" s="86"/>
      <c r="DF704" s="84"/>
      <c r="DI704" s="86"/>
      <c r="DJ704" s="84"/>
      <c r="DM704" s="86"/>
      <c r="DN704" s="84"/>
      <c r="DQ704" s="86"/>
      <c r="DR704" s="85"/>
      <c r="DS704" s="85"/>
      <c r="DT704" s="84"/>
      <c r="DV704" s="84"/>
      <c r="DW704" s="157"/>
      <c r="EB704" s="84"/>
      <c r="EG704" s="84"/>
      <c r="EK704" s="84"/>
      <c r="EO704" s="84"/>
      <c r="ES704" s="84"/>
      <c r="EW704" s="84"/>
    </row>
    <row r="705" customFormat="false" ht="12.75" hidden="false" customHeight="false" outlineLevel="0" collapsed="false">
      <c r="A705" s="37"/>
      <c r="E705" s="83"/>
      <c r="J705" s="84"/>
      <c r="N705" s="84"/>
      <c r="R705" s="84"/>
      <c r="V705" s="84"/>
      <c r="Z705" s="84"/>
      <c r="AD705" s="84"/>
      <c r="AH705" s="84"/>
      <c r="AL705" s="84"/>
      <c r="AP705" s="84"/>
      <c r="AT705" s="84"/>
      <c r="AX705" s="84"/>
      <c r="BB705" s="85"/>
      <c r="BC705" s="84"/>
      <c r="BD705" s="84"/>
      <c r="BF705" s="84"/>
      <c r="BL705" s="84"/>
      <c r="BP705" s="86"/>
      <c r="BV705" s="84"/>
      <c r="CA705" s="84"/>
      <c r="CF705" s="84"/>
      <c r="CK705" s="84"/>
      <c r="CP705" s="84"/>
      <c r="CS705" s="86"/>
      <c r="CT705" s="84"/>
      <c r="CW705" s="86"/>
      <c r="CX705" s="84"/>
      <c r="DA705" s="86"/>
      <c r="DB705" s="84"/>
      <c r="DE705" s="86"/>
      <c r="DF705" s="84"/>
      <c r="DI705" s="86"/>
      <c r="DJ705" s="84"/>
      <c r="DM705" s="86"/>
      <c r="DN705" s="84"/>
      <c r="DQ705" s="86"/>
      <c r="DR705" s="85"/>
      <c r="DS705" s="85"/>
      <c r="DT705" s="84"/>
      <c r="DV705" s="84"/>
      <c r="DW705" s="157"/>
      <c r="EB705" s="84"/>
      <c r="EG705" s="84"/>
      <c r="EK705" s="84"/>
      <c r="EO705" s="84"/>
      <c r="ES705" s="84"/>
      <c r="EW705" s="84"/>
    </row>
    <row r="706" customFormat="false" ht="12.75" hidden="false" customHeight="false" outlineLevel="0" collapsed="false">
      <c r="A706" s="37"/>
      <c r="E706" s="83"/>
      <c r="J706" s="84"/>
      <c r="N706" s="84"/>
      <c r="R706" s="84"/>
      <c r="V706" s="84"/>
      <c r="Z706" s="84"/>
      <c r="AD706" s="84"/>
      <c r="AH706" s="84"/>
      <c r="AL706" s="84"/>
      <c r="AP706" s="84"/>
      <c r="AT706" s="84"/>
      <c r="AX706" s="84"/>
      <c r="BB706" s="85"/>
      <c r="BC706" s="84"/>
      <c r="BD706" s="84"/>
      <c r="BF706" s="84"/>
      <c r="BL706" s="84"/>
      <c r="BP706" s="86"/>
      <c r="BV706" s="84"/>
      <c r="CA706" s="84"/>
      <c r="CF706" s="84"/>
      <c r="CK706" s="84"/>
      <c r="CP706" s="84"/>
      <c r="CS706" s="86"/>
      <c r="CT706" s="84"/>
      <c r="CW706" s="86"/>
      <c r="CX706" s="84"/>
      <c r="DA706" s="86"/>
      <c r="DB706" s="84"/>
      <c r="DE706" s="86"/>
      <c r="DF706" s="84"/>
      <c r="DI706" s="86"/>
      <c r="DJ706" s="84"/>
      <c r="DM706" s="86"/>
      <c r="DN706" s="84"/>
      <c r="DQ706" s="86"/>
      <c r="DR706" s="85"/>
      <c r="DS706" s="85"/>
      <c r="DT706" s="84"/>
      <c r="DV706" s="84"/>
      <c r="DW706" s="157"/>
      <c r="EB706" s="84"/>
      <c r="EG706" s="84"/>
      <c r="EK706" s="84"/>
      <c r="EO706" s="84"/>
      <c r="ES706" s="84"/>
      <c r="EW706" s="84"/>
    </row>
    <row r="707" customFormat="false" ht="12.75" hidden="false" customHeight="false" outlineLevel="0" collapsed="false">
      <c r="A707" s="37"/>
      <c r="E707" s="83"/>
      <c r="J707" s="84"/>
      <c r="N707" s="84"/>
      <c r="R707" s="84"/>
      <c r="V707" s="84"/>
      <c r="Z707" s="84"/>
      <c r="AD707" s="84"/>
      <c r="AH707" s="84"/>
      <c r="AL707" s="84"/>
      <c r="AP707" s="84"/>
      <c r="AT707" s="84"/>
      <c r="AX707" s="84"/>
      <c r="BB707" s="85"/>
      <c r="BC707" s="84"/>
      <c r="BD707" s="84"/>
      <c r="BF707" s="84"/>
      <c r="BL707" s="84"/>
      <c r="BP707" s="86"/>
      <c r="BV707" s="84"/>
      <c r="CA707" s="84"/>
      <c r="CF707" s="84"/>
      <c r="CK707" s="84"/>
      <c r="CP707" s="84"/>
      <c r="CS707" s="86"/>
      <c r="CT707" s="84"/>
      <c r="CW707" s="86"/>
      <c r="CX707" s="84"/>
      <c r="DA707" s="86"/>
      <c r="DB707" s="84"/>
      <c r="DE707" s="86"/>
      <c r="DF707" s="84"/>
      <c r="DI707" s="86"/>
      <c r="DJ707" s="84"/>
      <c r="DM707" s="86"/>
      <c r="DN707" s="84"/>
      <c r="DQ707" s="86"/>
      <c r="DR707" s="85"/>
      <c r="DS707" s="85"/>
      <c r="DT707" s="84"/>
      <c r="DV707" s="84"/>
      <c r="DW707" s="157"/>
      <c r="EB707" s="84"/>
      <c r="EG707" s="84"/>
      <c r="EK707" s="84"/>
      <c r="EO707" s="84"/>
      <c r="ES707" s="84"/>
      <c r="EW707" s="84"/>
    </row>
    <row r="708" customFormat="false" ht="12.75" hidden="false" customHeight="false" outlineLevel="0" collapsed="false">
      <c r="A708" s="37"/>
      <c r="E708" s="83"/>
      <c r="J708" s="84"/>
      <c r="N708" s="84"/>
      <c r="R708" s="84"/>
      <c r="V708" s="84"/>
      <c r="Z708" s="84"/>
      <c r="AD708" s="84"/>
      <c r="AH708" s="84"/>
      <c r="AL708" s="84"/>
      <c r="AP708" s="84"/>
      <c r="AT708" s="84"/>
      <c r="AX708" s="84"/>
      <c r="BB708" s="85"/>
      <c r="BC708" s="84"/>
      <c r="BD708" s="84"/>
      <c r="BF708" s="84"/>
      <c r="BL708" s="84"/>
      <c r="BP708" s="86"/>
      <c r="BV708" s="84"/>
      <c r="CA708" s="84"/>
      <c r="CF708" s="84"/>
      <c r="CK708" s="84"/>
      <c r="CP708" s="84"/>
      <c r="CS708" s="86"/>
      <c r="CT708" s="84"/>
      <c r="CW708" s="86"/>
      <c r="CX708" s="84"/>
      <c r="DA708" s="86"/>
      <c r="DB708" s="84"/>
      <c r="DE708" s="86"/>
      <c r="DF708" s="84"/>
      <c r="DI708" s="86"/>
      <c r="DJ708" s="84"/>
      <c r="DM708" s="86"/>
      <c r="DN708" s="84"/>
      <c r="DQ708" s="86"/>
      <c r="DR708" s="85"/>
      <c r="DS708" s="85"/>
      <c r="DT708" s="84"/>
      <c r="DV708" s="84"/>
      <c r="DW708" s="157"/>
      <c r="EB708" s="84"/>
      <c r="EG708" s="84"/>
      <c r="EK708" s="84"/>
      <c r="EO708" s="84"/>
      <c r="ES708" s="84"/>
      <c r="EW708" s="84"/>
    </row>
    <row r="709" customFormat="false" ht="12.75" hidden="false" customHeight="false" outlineLevel="0" collapsed="false">
      <c r="A709" s="37"/>
      <c r="E709" s="83"/>
      <c r="J709" s="84"/>
      <c r="N709" s="84"/>
      <c r="R709" s="84"/>
      <c r="V709" s="84"/>
      <c r="Z709" s="84"/>
      <c r="AD709" s="84"/>
      <c r="AH709" s="84"/>
      <c r="AL709" s="84"/>
      <c r="AP709" s="84"/>
      <c r="AT709" s="84"/>
      <c r="AX709" s="84"/>
      <c r="BB709" s="85"/>
      <c r="BC709" s="84"/>
      <c r="BD709" s="84"/>
      <c r="BF709" s="84"/>
      <c r="BL709" s="84"/>
      <c r="BP709" s="86"/>
      <c r="BV709" s="84"/>
      <c r="CA709" s="84"/>
      <c r="CF709" s="84"/>
      <c r="CK709" s="84"/>
      <c r="CP709" s="84"/>
      <c r="CS709" s="86"/>
      <c r="CT709" s="84"/>
      <c r="CW709" s="86"/>
      <c r="CX709" s="84"/>
      <c r="DA709" s="86"/>
      <c r="DB709" s="84"/>
      <c r="DE709" s="86"/>
      <c r="DF709" s="84"/>
      <c r="DI709" s="86"/>
      <c r="DJ709" s="84"/>
      <c r="DM709" s="86"/>
      <c r="DN709" s="84"/>
      <c r="DQ709" s="86"/>
      <c r="DR709" s="85"/>
      <c r="DS709" s="85"/>
      <c r="DT709" s="84"/>
      <c r="DV709" s="84"/>
      <c r="DW709" s="157"/>
      <c r="EB709" s="84"/>
      <c r="EG709" s="84"/>
      <c r="EK709" s="84"/>
      <c r="EO709" s="84"/>
      <c r="ES709" s="84"/>
      <c r="EW709" s="84"/>
    </row>
    <row r="710" customFormat="false" ht="12.75" hidden="false" customHeight="false" outlineLevel="0" collapsed="false">
      <c r="A710" s="37"/>
      <c r="E710" s="83"/>
      <c r="J710" s="84"/>
      <c r="N710" s="84"/>
      <c r="R710" s="84"/>
      <c r="V710" s="84"/>
      <c r="Z710" s="84"/>
      <c r="AD710" s="84"/>
      <c r="AH710" s="84"/>
      <c r="AL710" s="84"/>
      <c r="AP710" s="84"/>
      <c r="AT710" s="84"/>
      <c r="AX710" s="84"/>
      <c r="BB710" s="85"/>
      <c r="BC710" s="84"/>
      <c r="BD710" s="84"/>
      <c r="BF710" s="84"/>
      <c r="BL710" s="84"/>
      <c r="BP710" s="86"/>
      <c r="BV710" s="84"/>
      <c r="CA710" s="84"/>
      <c r="CF710" s="84"/>
      <c r="CK710" s="84"/>
      <c r="CP710" s="84"/>
      <c r="CS710" s="86"/>
      <c r="CT710" s="84"/>
      <c r="CW710" s="86"/>
      <c r="CX710" s="84"/>
      <c r="DA710" s="86"/>
      <c r="DB710" s="84"/>
      <c r="DE710" s="86"/>
      <c r="DF710" s="84"/>
      <c r="DI710" s="86"/>
      <c r="DJ710" s="84"/>
      <c r="DM710" s="86"/>
      <c r="DN710" s="84"/>
      <c r="DQ710" s="86"/>
      <c r="DR710" s="85"/>
      <c r="DS710" s="85"/>
      <c r="DT710" s="84"/>
      <c r="DV710" s="84"/>
      <c r="DW710" s="157"/>
      <c r="EB710" s="84"/>
      <c r="EG710" s="84"/>
      <c r="EK710" s="84"/>
      <c r="EO710" s="84"/>
      <c r="ES710" s="84"/>
      <c r="EW710" s="84"/>
    </row>
    <row r="711" customFormat="false" ht="12.75" hidden="false" customHeight="false" outlineLevel="0" collapsed="false">
      <c r="A711" s="37"/>
      <c r="E711" s="83"/>
      <c r="J711" s="84"/>
      <c r="N711" s="84"/>
      <c r="R711" s="84"/>
      <c r="V711" s="84"/>
      <c r="Z711" s="84"/>
      <c r="AD711" s="84"/>
      <c r="AH711" s="84"/>
      <c r="AL711" s="84"/>
      <c r="AP711" s="84"/>
      <c r="AT711" s="84"/>
      <c r="AX711" s="84"/>
      <c r="BB711" s="85"/>
      <c r="BC711" s="84"/>
      <c r="BD711" s="84"/>
      <c r="BF711" s="84"/>
      <c r="BL711" s="84"/>
      <c r="BP711" s="86"/>
      <c r="BV711" s="84"/>
      <c r="CA711" s="84"/>
      <c r="CF711" s="84"/>
      <c r="CK711" s="84"/>
      <c r="CP711" s="84"/>
      <c r="CS711" s="86"/>
      <c r="CT711" s="84"/>
      <c r="CW711" s="86"/>
      <c r="CX711" s="84"/>
      <c r="DA711" s="86"/>
      <c r="DB711" s="84"/>
      <c r="DE711" s="86"/>
      <c r="DF711" s="84"/>
      <c r="DI711" s="86"/>
      <c r="DJ711" s="84"/>
      <c r="DM711" s="86"/>
      <c r="DN711" s="84"/>
      <c r="DQ711" s="86"/>
      <c r="DR711" s="85"/>
      <c r="DS711" s="85"/>
      <c r="DT711" s="84"/>
      <c r="DV711" s="84"/>
      <c r="DW711" s="157"/>
      <c r="EB711" s="84"/>
      <c r="EG711" s="84"/>
      <c r="EK711" s="84"/>
      <c r="EO711" s="84"/>
      <c r="ES711" s="84"/>
      <c r="EW711" s="84"/>
    </row>
    <row r="712" customFormat="false" ht="12.75" hidden="false" customHeight="false" outlineLevel="0" collapsed="false">
      <c r="A712" s="37"/>
      <c r="E712" s="83"/>
      <c r="J712" s="84"/>
      <c r="N712" s="84"/>
      <c r="R712" s="84"/>
      <c r="V712" s="84"/>
      <c r="Z712" s="84"/>
      <c r="AD712" s="84"/>
      <c r="AH712" s="84"/>
      <c r="AL712" s="84"/>
      <c r="AP712" s="84"/>
      <c r="AT712" s="84"/>
      <c r="AX712" s="84"/>
      <c r="BB712" s="85"/>
      <c r="BC712" s="84"/>
      <c r="BD712" s="84"/>
      <c r="BF712" s="84"/>
      <c r="BL712" s="84"/>
      <c r="BP712" s="86"/>
      <c r="BV712" s="84"/>
      <c r="CA712" s="84"/>
      <c r="CF712" s="84"/>
      <c r="CK712" s="84"/>
      <c r="CP712" s="84"/>
      <c r="CS712" s="86"/>
      <c r="CT712" s="84"/>
      <c r="CW712" s="86"/>
      <c r="CX712" s="84"/>
      <c r="DA712" s="86"/>
      <c r="DB712" s="84"/>
      <c r="DE712" s="86"/>
      <c r="DF712" s="84"/>
      <c r="DI712" s="86"/>
      <c r="DJ712" s="84"/>
      <c r="DM712" s="86"/>
      <c r="DN712" s="84"/>
      <c r="DQ712" s="86"/>
      <c r="DR712" s="85"/>
      <c r="DS712" s="85"/>
      <c r="DT712" s="84"/>
      <c r="DV712" s="84"/>
      <c r="DW712" s="157"/>
      <c r="EB712" s="84"/>
      <c r="EG712" s="84"/>
      <c r="EK712" s="84"/>
      <c r="EO712" s="84"/>
      <c r="ES712" s="84"/>
      <c r="EW712" s="84"/>
    </row>
    <row r="713" customFormat="false" ht="12.75" hidden="false" customHeight="false" outlineLevel="0" collapsed="false">
      <c r="A713" s="37"/>
      <c r="E713" s="83"/>
      <c r="J713" s="84"/>
      <c r="N713" s="84"/>
      <c r="R713" s="84"/>
      <c r="V713" s="84"/>
      <c r="Z713" s="84"/>
      <c r="AD713" s="84"/>
      <c r="AH713" s="84"/>
      <c r="AL713" s="84"/>
      <c r="AP713" s="84"/>
      <c r="AT713" s="84"/>
      <c r="AX713" s="84"/>
      <c r="BB713" s="85"/>
      <c r="BC713" s="84"/>
      <c r="BD713" s="84"/>
      <c r="BF713" s="84"/>
      <c r="BL713" s="84"/>
      <c r="BP713" s="86"/>
      <c r="BV713" s="84"/>
      <c r="CA713" s="84"/>
      <c r="CF713" s="84"/>
      <c r="CK713" s="84"/>
      <c r="CP713" s="84"/>
      <c r="CS713" s="86"/>
      <c r="CT713" s="84"/>
      <c r="CW713" s="86"/>
      <c r="CX713" s="84"/>
      <c r="DA713" s="86"/>
      <c r="DB713" s="84"/>
      <c r="DE713" s="86"/>
      <c r="DF713" s="84"/>
      <c r="DI713" s="86"/>
      <c r="DJ713" s="84"/>
      <c r="DM713" s="86"/>
      <c r="DN713" s="84"/>
      <c r="DQ713" s="86"/>
      <c r="DR713" s="85"/>
      <c r="DS713" s="85"/>
      <c r="DT713" s="84"/>
      <c r="DV713" s="84"/>
      <c r="DW713" s="157"/>
      <c r="EB713" s="84"/>
      <c r="EG713" s="84"/>
      <c r="EK713" s="84"/>
      <c r="EO713" s="84"/>
      <c r="ES713" s="84"/>
      <c r="EW713" s="84"/>
    </row>
    <row r="714" customFormat="false" ht="12.75" hidden="false" customHeight="false" outlineLevel="0" collapsed="false">
      <c r="A714" s="37"/>
      <c r="E714" s="83"/>
      <c r="J714" s="84"/>
      <c r="N714" s="84"/>
      <c r="R714" s="84"/>
      <c r="V714" s="84"/>
      <c r="Z714" s="84"/>
      <c r="AD714" s="84"/>
      <c r="AH714" s="84"/>
      <c r="AL714" s="84"/>
      <c r="AP714" s="84"/>
      <c r="AT714" s="84"/>
      <c r="AX714" s="84"/>
      <c r="BB714" s="85"/>
      <c r="BC714" s="84"/>
      <c r="BD714" s="84"/>
      <c r="BF714" s="84"/>
      <c r="BL714" s="84"/>
      <c r="BP714" s="86"/>
      <c r="BV714" s="84"/>
      <c r="CA714" s="84"/>
      <c r="CF714" s="84"/>
      <c r="CK714" s="84"/>
      <c r="CP714" s="84"/>
      <c r="CS714" s="86"/>
      <c r="CT714" s="84"/>
      <c r="CW714" s="86"/>
      <c r="CX714" s="84"/>
      <c r="DA714" s="86"/>
      <c r="DB714" s="84"/>
      <c r="DE714" s="86"/>
      <c r="DF714" s="84"/>
      <c r="DI714" s="86"/>
      <c r="DJ714" s="84"/>
      <c r="DM714" s="86"/>
      <c r="DN714" s="84"/>
      <c r="DQ714" s="86"/>
      <c r="DR714" s="85"/>
      <c r="DS714" s="85"/>
      <c r="DT714" s="84"/>
      <c r="DV714" s="84"/>
      <c r="DW714" s="157"/>
      <c r="EB714" s="84"/>
      <c r="EG714" s="84"/>
      <c r="EK714" s="84"/>
      <c r="EO714" s="84"/>
      <c r="ES714" s="84"/>
      <c r="EW714" s="84"/>
    </row>
    <row r="715" customFormat="false" ht="12.75" hidden="false" customHeight="false" outlineLevel="0" collapsed="false">
      <c r="A715" s="37"/>
      <c r="E715" s="83"/>
      <c r="J715" s="84"/>
      <c r="N715" s="84"/>
      <c r="R715" s="84"/>
      <c r="V715" s="84"/>
      <c r="Z715" s="84"/>
      <c r="AD715" s="84"/>
      <c r="AH715" s="84"/>
      <c r="AL715" s="84"/>
      <c r="AP715" s="84"/>
      <c r="AT715" s="84"/>
      <c r="AX715" s="84"/>
      <c r="BB715" s="85"/>
      <c r="BC715" s="84"/>
      <c r="BD715" s="84"/>
      <c r="BF715" s="84"/>
      <c r="BL715" s="84"/>
      <c r="BP715" s="86"/>
      <c r="BV715" s="84"/>
      <c r="CA715" s="84"/>
      <c r="CF715" s="84"/>
      <c r="CK715" s="84"/>
      <c r="CP715" s="84"/>
      <c r="CS715" s="86"/>
      <c r="CT715" s="84"/>
      <c r="CW715" s="86"/>
      <c r="CX715" s="84"/>
      <c r="DA715" s="86"/>
      <c r="DB715" s="84"/>
      <c r="DE715" s="86"/>
      <c r="DF715" s="84"/>
      <c r="DI715" s="86"/>
      <c r="DJ715" s="84"/>
      <c r="DM715" s="86"/>
      <c r="DN715" s="84"/>
      <c r="DQ715" s="86"/>
      <c r="DR715" s="85"/>
      <c r="DS715" s="85"/>
      <c r="DT715" s="84"/>
      <c r="DV715" s="84"/>
      <c r="DW715" s="157"/>
      <c r="EB715" s="84"/>
      <c r="EG715" s="84"/>
      <c r="EK715" s="84"/>
      <c r="EO715" s="84"/>
      <c r="ES715" s="84"/>
      <c r="EW715" s="84"/>
    </row>
    <row r="716" customFormat="false" ht="12.75" hidden="false" customHeight="false" outlineLevel="0" collapsed="false">
      <c r="A716" s="37"/>
      <c r="E716" s="83"/>
      <c r="J716" s="84"/>
      <c r="N716" s="84"/>
      <c r="R716" s="84"/>
      <c r="V716" s="84"/>
      <c r="Z716" s="84"/>
      <c r="AD716" s="84"/>
      <c r="AH716" s="84"/>
      <c r="AL716" s="84"/>
      <c r="AP716" s="84"/>
      <c r="AT716" s="84"/>
      <c r="AX716" s="84"/>
      <c r="BB716" s="85"/>
      <c r="BC716" s="84"/>
      <c r="BD716" s="84"/>
      <c r="BF716" s="84"/>
      <c r="BL716" s="84"/>
      <c r="BP716" s="86"/>
      <c r="BV716" s="84"/>
      <c r="CA716" s="84"/>
      <c r="CF716" s="84"/>
      <c r="CK716" s="84"/>
      <c r="CP716" s="84"/>
      <c r="CS716" s="86"/>
      <c r="CT716" s="84"/>
      <c r="CW716" s="86"/>
      <c r="CX716" s="84"/>
      <c r="DA716" s="86"/>
      <c r="DB716" s="84"/>
      <c r="DE716" s="86"/>
      <c r="DF716" s="84"/>
      <c r="DI716" s="86"/>
      <c r="DJ716" s="84"/>
      <c r="DM716" s="86"/>
      <c r="DN716" s="84"/>
      <c r="DQ716" s="86"/>
      <c r="DR716" s="85"/>
      <c r="DS716" s="85"/>
      <c r="DT716" s="84"/>
      <c r="DV716" s="84"/>
      <c r="DW716" s="157"/>
      <c r="EB716" s="84"/>
      <c r="EG716" s="84"/>
      <c r="EK716" s="84"/>
      <c r="EO716" s="84"/>
      <c r="ES716" s="84"/>
      <c r="EW716" s="84"/>
    </row>
    <row r="717" customFormat="false" ht="12.75" hidden="false" customHeight="false" outlineLevel="0" collapsed="false">
      <c r="A717" s="37"/>
      <c r="E717" s="83"/>
      <c r="J717" s="84"/>
      <c r="N717" s="84"/>
      <c r="R717" s="84"/>
      <c r="V717" s="84"/>
      <c r="Z717" s="84"/>
      <c r="AD717" s="84"/>
      <c r="AH717" s="84"/>
      <c r="AL717" s="84"/>
      <c r="AP717" s="84"/>
      <c r="AT717" s="84"/>
      <c r="AX717" s="84"/>
      <c r="BB717" s="85"/>
      <c r="BC717" s="84"/>
      <c r="BD717" s="84"/>
      <c r="BF717" s="84"/>
      <c r="BL717" s="84"/>
      <c r="BP717" s="86"/>
      <c r="BV717" s="84"/>
      <c r="CA717" s="84"/>
      <c r="CF717" s="84"/>
      <c r="CK717" s="84"/>
      <c r="CP717" s="84"/>
      <c r="CS717" s="86"/>
      <c r="CT717" s="84"/>
      <c r="CW717" s="86"/>
      <c r="CX717" s="84"/>
      <c r="DA717" s="86"/>
      <c r="DB717" s="84"/>
      <c r="DE717" s="86"/>
      <c r="DF717" s="84"/>
      <c r="DI717" s="86"/>
      <c r="DJ717" s="84"/>
      <c r="DM717" s="86"/>
      <c r="DN717" s="84"/>
      <c r="DQ717" s="86"/>
      <c r="DR717" s="85"/>
      <c r="DS717" s="85"/>
      <c r="DT717" s="84"/>
      <c r="DV717" s="84"/>
      <c r="DW717" s="157"/>
      <c r="EB717" s="84"/>
      <c r="EG717" s="84"/>
      <c r="EK717" s="84"/>
      <c r="EO717" s="84"/>
      <c r="ES717" s="84"/>
      <c r="EW717" s="84"/>
    </row>
    <row r="718" customFormat="false" ht="12.75" hidden="false" customHeight="false" outlineLevel="0" collapsed="false">
      <c r="A718" s="37"/>
      <c r="E718" s="83"/>
      <c r="J718" s="84"/>
      <c r="N718" s="84"/>
      <c r="R718" s="84"/>
      <c r="V718" s="84"/>
      <c r="Z718" s="84"/>
      <c r="AD718" s="84"/>
      <c r="AH718" s="84"/>
      <c r="AL718" s="84"/>
      <c r="AP718" s="84"/>
      <c r="AT718" s="84"/>
      <c r="AX718" s="84"/>
      <c r="BB718" s="85"/>
      <c r="BC718" s="84"/>
      <c r="BD718" s="84"/>
      <c r="BF718" s="84"/>
      <c r="BL718" s="84"/>
      <c r="BP718" s="86"/>
      <c r="BV718" s="84"/>
      <c r="CA718" s="84"/>
      <c r="CF718" s="84"/>
      <c r="CK718" s="84"/>
      <c r="CP718" s="84"/>
      <c r="CS718" s="86"/>
      <c r="CT718" s="84"/>
      <c r="CW718" s="86"/>
      <c r="CX718" s="84"/>
      <c r="DA718" s="86"/>
      <c r="DB718" s="84"/>
      <c r="DE718" s="86"/>
      <c r="DF718" s="84"/>
      <c r="DI718" s="86"/>
      <c r="DJ718" s="84"/>
      <c r="DM718" s="86"/>
      <c r="DN718" s="84"/>
      <c r="DQ718" s="86"/>
      <c r="DR718" s="85"/>
      <c r="DS718" s="85"/>
      <c r="DT718" s="84"/>
      <c r="DV718" s="84"/>
      <c r="DW718" s="157"/>
      <c r="EB718" s="84"/>
      <c r="EG718" s="84"/>
      <c r="EK718" s="84"/>
      <c r="EO718" s="84"/>
      <c r="ES718" s="84"/>
      <c r="EW718" s="84"/>
    </row>
    <row r="719" customFormat="false" ht="12.75" hidden="false" customHeight="false" outlineLevel="0" collapsed="false">
      <c r="A719" s="37"/>
      <c r="E719" s="83"/>
      <c r="J719" s="84"/>
      <c r="N719" s="84"/>
      <c r="R719" s="84"/>
      <c r="V719" s="84"/>
      <c r="Z719" s="84"/>
      <c r="AD719" s="84"/>
      <c r="AH719" s="84"/>
      <c r="AL719" s="84"/>
      <c r="AP719" s="84"/>
      <c r="AT719" s="84"/>
      <c r="AX719" s="84"/>
      <c r="BB719" s="85"/>
      <c r="BC719" s="84"/>
      <c r="BD719" s="84"/>
      <c r="BF719" s="84"/>
      <c r="BL719" s="84"/>
      <c r="BP719" s="86"/>
      <c r="BV719" s="84"/>
      <c r="CA719" s="84"/>
      <c r="CF719" s="84"/>
      <c r="CK719" s="84"/>
      <c r="CP719" s="84"/>
      <c r="CS719" s="86"/>
      <c r="CT719" s="84"/>
      <c r="CW719" s="86"/>
      <c r="CX719" s="84"/>
      <c r="DA719" s="86"/>
      <c r="DB719" s="84"/>
      <c r="DE719" s="86"/>
      <c r="DF719" s="84"/>
      <c r="DI719" s="86"/>
      <c r="DJ719" s="84"/>
      <c r="DM719" s="86"/>
      <c r="DN719" s="84"/>
      <c r="DQ719" s="86"/>
      <c r="DR719" s="85"/>
      <c r="DS719" s="85"/>
      <c r="DT719" s="84"/>
      <c r="DV719" s="84"/>
      <c r="DW719" s="157"/>
      <c r="EB719" s="84"/>
      <c r="EG719" s="84"/>
      <c r="EK719" s="84"/>
      <c r="EO719" s="84"/>
      <c r="ES719" s="84"/>
      <c r="EW719" s="84"/>
    </row>
    <row r="720" customFormat="false" ht="12.75" hidden="false" customHeight="false" outlineLevel="0" collapsed="false">
      <c r="A720" s="37"/>
      <c r="E720" s="83"/>
      <c r="J720" s="84"/>
      <c r="N720" s="84"/>
      <c r="R720" s="84"/>
      <c r="V720" s="84"/>
      <c r="Z720" s="84"/>
      <c r="AD720" s="84"/>
      <c r="AH720" s="84"/>
      <c r="AL720" s="84"/>
      <c r="AP720" s="84"/>
      <c r="AT720" s="84"/>
      <c r="AX720" s="84"/>
      <c r="BB720" s="85"/>
      <c r="BC720" s="84"/>
      <c r="BD720" s="84"/>
      <c r="BF720" s="84"/>
      <c r="BL720" s="84"/>
      <c r="BP720" s="86"/>
      <c r="BV720" s="84"/>
      <c r="CA720" s="84"/>
      <c r="CF720" s="84"/>
      <c r="CK720" s="84"/>
      <c r="CP720" s="84"/>
      <c r="CS720" s="86"/>
      <c r="CT720" s="84"/>
      <c r="CW720" s="86"/>
      <c r="CX720" s="84"/>
      <c r="DA720" s="86"/>
      <c r="DB720" s="84"/>
      <c r="DE720" s="86"/>
      <c r="DF720" s="84"/>
      <c r="DI720" s="86"/>
      <c r="DJ720" s="84"/>
      <c r="DM720" s="86"/>
      <c r="DN720" s="84"/>
      <c r="DQ720" s="86"/>
      <c r="DR720" s="85"/>
      <c r="DS720" s="85"/>
      <c r="DT720" s="84"/>
      <c r="DV720" s="84"/>
      <c r="DW720" s="157"/>
      <c r="EB720" s="84"/>
      <c r="EG720" s="84"/>
      <c r="EK720" s="84"/>
      <c r="EO720" s="84"/>
      <c r="ES720" s="84"/>
      <c r="EW720" s="84"/>
    </row>
    <row r="721" customFormat="false" ht="12.75" hidden="false" customHeight="false" outlineLevel="0" collapsed="false">
      <c r="A721" s="37"/>
      <c r="E721" s="83"/>
      <c r="J721" s="84"/>
      <c r="N721" s="84"/>
      <c r="R721" s="84"/>
      <c r="V721" s="84"/>
      <c r="Z721" s="84"/>
      <c r="AD721" s="84"/>
      <c r="AH721" s="84"/>
      <c r="AL721" s="84"/>
      <c r="AP721" s="84"/>
      <c r="AT721" s="84"/>
      <c r="AX721" s="84"/>
      <c r="BB721" s="85"/>
      <c r="BC721" s="84"/>
      <c r="BD721" s="84"/>
      <c r="BF721" s="84"/>
      <c r="BL721" s="84"/>
      <c r="BP721" s="86"/>
      <c r="BV721" s="84"/>
      <c r="CA721" s="84"/>
      <c r="CF721" s="84"/>
      <c r="CK721" s="84"/>
      <c r="CP721" s="84"/>
      <c r="CS721" s="86"/>
      <c r="CT721" s="84"/>
      <c r="CW721" s="86"/>
      <c r="CX721" s="84"/>
      <c r="DA721" s="86"/>
      <c r="DB721" s="84"/>
      <c r="DE721" s="86"/>
      <c r="DF721" s="84"/>
      <c r="DI721" s="86"/>
      <c r="DJ721" s="84"/>
      <c r="DM721" s="86"/>
      <c r="DN721" s="84"/>
      <c r="DQ721" s="86"/>
      <c r="DR721" s="85"/>
      <c r="DS721" s="85"/>
      <c r="DT721" s="84"/>
      <c r="DV721" s="84"/>
      <c r="DW721" s="157"/>
      <c r="EB721" s="84"/>
      <c r="EG721" s="84"/>
      <c r="EK721" s="84"/>
      <c r="EO721" s="84"/>
      <c r="ES721" s="84"/>
      <c r="EW721" s="84"/>
    </row>
    <row r="722" customFormat="false" ht="12.75" hidden="false" customHeight="false" outlineLevel="0" collapsed="false">
      <c r="A722" s="37"/>
      <c r="E722" s="83"/>
      <c r="J722" s="84"/>
      <c r="N722" s="84"/>
      <c r="R722" s="84"/>
      <c r="V722" s="84"/>
      <c r="Z722" s="84"/>
      <c r="AD722" s="84"/>
      <c r="AH722" s="84"/>
      <c r="AL722" s="84"/>
      <c r="AP722" s="84"/>
      <c r="AT722" s="84"/>
      <c r="AX722" s="84"/>
      <c r="BB722" s="85"/>
      <c r="BC722" s="84"/>
      <c r="BD722" s="84"/>
      <c r="BF722" s="84"/>
      <c r="BL722" s="84"/>
      <c r="BP722" s="86"/>
      <c r="BV722" s="84"/>
      <c r="CA722" s="84"/>
      <c r="CF722" s="84"/>
      <c r="CK722" s="84"/>
      <c r="CP722" s="84"/>
      <c r="CS722" s="86"/>
      <c r="CT722" s="84"/>
      <c r="CW722" s="86"/>
      <c r="CX722" s="84"/>
      <c r="DA722" s="86"/>
      <c r="DB722" s="84"/>
      <c r="DE722" s="86"/>
      <c r="DF722" s="84"/>
      <c r="DI722" s="86"/>
      <c r="DJ722" s="84"/>
      <c r="DM722" s="86"/>
      <c r="DN722" s="84"/>
      <c r="DQ722" s="86"/>
      <c r="DR722" s="85"/>
      <c r="DS722" s="85"/>
      <c r="DT722" s="84"/>
      <c r="DV722" s="84"/>
      <c r="DW722" s="157"/>
      <c r="EB722" s="84"/>
      <c r="EG722" s="84"/>
      <c r="EK722" s="84"/>
      <c r="EO722" s="84"/>
      <c r="ES722" s="84"/>
      <c r="EW722" s="84"/>
    </row>
    <row r="723" customFormat="false" ht="12.75" hidden="false" customHeight="false" outlineLevel="0" collapsed="false">
      <c r="A723" s="37"/>
      <c r="E723" s="83"/>
      <c r="J723" s="84"/>
      <c r="N723" s="84"/>
      <c r="R723" s="84"/>
      <c r="V723" s="84"/>
      <c r="Z723" s="84"/>
      <c r="AD723" s="84"/>
      <c r="AH723" s="84"/>
      <c r="AL723" s="84"/>
      <c r="AP723" s="84"/>
      <c r="AT723" s="84"/>
      <c r="AX723" s="84"/>
      <c r="BB723" s="85"/>
      <c r="BC723" s="84"/>
      <c r="BD723" s="84"/>
      <c r="BF723" s="84"/>
      <c r="BL723" s="84"/>
      <c r="BP723" s="86"/>
      <c r="BV723" s="84"/>
      <c r="CA723" s="84"/>
      <c r="CF723" s="84"/>
      <c r="CK723" s="84"/>
      <c r="CP723" s="84"/>
      <c r="CS723" s="86"/>
      <c r="CT723" s="84"/>
      <c r="CW723" s="86"/>
      <c r="CX723" s="84"/>
      <c r="DA723" s="86"/>
      <c r="DB723" s="84"/>
      <c r="DE723" s="86"/>
      <c r="DF723" s="84"/>
      <c r="DI723" s="86"/>
      <c r="DJ723" s="84"/>
      <c r="DM723" s="86"/>
      <c r="DN723" s="84"/>
      <c r="DQ723" s="86"/>
      <c r="DR723" s="85"/>
      <c r="DS723" s="85"/>
      <c r="DT723" s="84"/>
      <c r="DV723" s="84"/>
      <c r="DW723" s="157"/>
      <c r="EB723" s="84"/>
      <c r="EG723" s="84"/>
      <c r="EK723" s="84"/>
      <c r="EO723" s="84"/>
      <c r="ES723" s="84"/>
      <c r="EW723" s="84"/>
    </row>
    <row r="724" customFormat="false" ht="12.75" hidden="false" customHeight="false" outlineLevel="0" collapsed="false">
      <c r="A724" s="37"/>
      <c r="E724" s="83"/>
      <c r="J724" s="84"/>
      <c r="N724" s="84"/>
      <c r="R724" s="84"/>
      <c r="V724" s="84"/>
      <c r="Z724" s="84"/>
      <c r="AD724" s="84"/>
      <c r="AH724" s="84"/>
      <c r="AL724" s="84"/>
      <c r="AP724" s="84"/>
      <c r="AT724" s="84"/>
      <c r="AX724" s="84"/>
      <c r="BB724" s="85"/>
      <c r="BC724" s="84"/>
      <c r="BD724" s="84"/>
      <c r="BF724" s="84"/>
      <c r="BL724" s="84"/>
      <c r="BP724" s="86"/>
      <c r="BV724" s="84"/>
      <c r="CA724" s="84"/>
      <c r="CF724" s="84"/>
      <c r="CK724" s="84"/>
      <c r="CP724" s="84"/>
      <c r="CS724" s="86"/>
      <c r="CT724" s="84"/>
      <c r="CW724" s="86"/>
      <c r="CX724" s="84"/>
      <c r="DA724" s="86"/>
      <c r="DB724" s="84"/>
      <c r="DE724" s="86"/>
      <c r="DF724" s="84"/>
      <c r="DI724" s="86"/>
      <c r="DJ724" s="84"/>
      <c r="DM724" s="86"/>
      <c r="DN724" s="84"/>
      <c r="DQ724" s="86"/>
      <c r="DR724" s="85"/>
      <c r="DS724" s="85"/>
      <c r="DT724" s="84"/>
      <c r="DV724" s="84"/>
      <c r="DW724" s="157"/>
      <c r="EB724" s="84"/>
      <c r="EG724" s="84"/>
      <c r="EK724" s="84"/>
      <c r="EO724" s="84"/>
      <c r="ES724" s="84"/>
      <c r="EW724" s="84"/>
    </row>
    <row r="725" customFormat="false" ht="12.75" hidden="false" customHeight="false" outlineLevel="0" collapsed="false">
      <c r="A725" s="37"/>
      <c r="E725" s="83"/>
      <c r="J725" s="84"/>
      <c r="N725" s="84"/>
      <c r="R725" s="84"/>
      <c r="V725" s="84"/>
      <c r="Z725" s="84"/>
      <c r="AD725" s="84"/>
      <c r="AH725" s="84"/>
      <c r="AL725" s="84"/>
      <c r="AP725" s="84"/>
      <c r="AT725" s="84"/>
      <c r="AX725" s="84"/>
      <c r="BB725" s="85"/>
      <c r="BC725" s="84"/>
      <c r="BD725" s="84"/>
      <c r="BF725" s="84"/>
      <c r="BL725" s="84"/>
      <c r="BP725" s="86"/>
      <c r="BV725" s="84"/>
      <c r="CA725" s="84"/>
      <c r="CF725" s="84"/>
      <c r="CK725" s="84"/>
      <c r="CP725" s="84"/>
      <c r="CS725" s="86"/>
      <c r="CT725" s="84"/>
      <c r="CW725" s="86"/>
      <c r="CX725" s="84"/>
      <c r="DA725" s="86"/>
      <c r="DB725" s="84"/>
      <c r="DE725" s="86"/>
      <c r="DF725" s="84"/>
      <c r="DI725" s="86"/>
      <c r="DJ725" s="84"/>
      <c r="DM725" s="86"/>
      <c r="DN725" s="84"/>
      <c r="DQ725" s="86"/>
      <c r="DR725" s="85"/>
      <c r="DS725" s="85"/>
      <c r="DT725" s="84"/>
      <c r="DV725" s="84"/>
      <c r="DW725" s="157"/>
      <c r="EB725" s="84"/>
      <c r="EG725" s="84"/>
      <c r="EK725" s="84"/>
      <c r="EO725" s="84"/>
      <c r="ES725" s="84"/>
      <c r="EW725" s="84"/>
    </row>
    <row r="726" customFormat="false" ht="12.75" hidden="false" customHeight="false" outlineLevel="0" collapsed="false">
      <c r="A726" s="37"/>
      <c r="E726" s="83"/>
      <c r="J726" s="84"/>
      <c r="N726" s="84"/>
      <c r="R726" s="84"/>
      <c r="V726" s="84"/>
      <c r="Z726" s="84"/>
      <c r="AD726" s="84"/>
      <c r="AH726" s="84"/>
      <c r="AL726" s="84"/>
      <c r="AP726" s="84"/>
      <c r="AT726" s="84"/>
      <c r="AX726" s="84"/>
      <c r="BB726" s="85"/>
      <c r="BC726" s="84"/>
      <c r="BD726" s="84"/>
      <c r="BF726" s="84"/>
      <c r="BL726" s="84"/>
      <c r="BP726" s="86"/>
      <c r="BV726" s="84"/>
      <c r="CA726" s="84"/>
      <c r="CF726" s="84"/>
      <c r="CK726" s="84"/>
      <c r="CP726" s="84"/>
      <c r="CS726" s="86"/>
      <c r="CT726" s="84"/>
      <c r="CW726" s="86"/>
      <c r="CX726" s="84"/>
      <c r="DA726" s="86"/>
      <c r="DB726" s="84"/>
      <c r="DE726" s="86"/>
      <c r="DF726" s="84"/>
      <c r="DI726" s="86"/>
      <c r="DJ726" s="84"/>
      <c r="DM726" s="86"/>
      <c r="DN726" s="84"/>
      <c r="DQ726" s="86"/>
      <c r="DR726" s="85"/>
      <c r="DS726" s="85"/>
      <c r="DT726" s="84"/>
      <c r="DV726" s="84"/>
      <c r="DW726" s="157"/>
      <c r="EB726" s="84"/>
      <c r="EG726" s="84"/>
      <c r="EK726" s="84"/>
      <c r="EO726" s="84"/>
      <c r="ES726" s="84"/>
      <c r="EW726" s="84"/>
    </row>
    <row r="727" customFormat="false" ht="12.75" hidden="false" customHeight="false" outlineLevel="0" collapsed="false">
      <c r="A727" s="37"/>
      <c r="E727" s="83"/>
      <c r="J727" s="84"/>
      <c r="N727" s="84"/>
      <c r="R727" s="84"/>
      <c r="V727" s="84"/>
      <c r="Z727" s="84"/>
      <c r="AD727" s="84"/>
      <c r="AH727" s="84"/>
      <c r="AL727" s="84"/>
      <c r="AP727" s="84"/>
      <c r="AT727" s="84"/>
      <c r="AX727" s="84"/>
      <c r="BB727" s="85"/>
      <c r="BC727" s="84"/>
      <c r="BD727" s="84"/>
      <c r="BF727" s="84"/>
      <c r="BL727" s="84"/>
      <c r="BP727" s="86"/>
      <c r="BV727" s="84"/>
      <c r="CA727" s="84"/>
      <c r="CF727" s="84"/>
      <c r="CK727" s="84"/>
      <c r="CP727" s="84"/>
      <c r="CS727" s="86"/>
      <c r="CT727" s="84"/>
      <c r="CW727" s="86"/>
      <c r="CX727" s="84"/>
      <c r="DA727" s="86"/>
      <c r="DB727" s="84"/>
      <c r="DE727" s="86"/>
      <c r="DF727" s="84"/>
      <c r="DI727" s="86"/>
      <c r="DJ727" s="84"/>
      <c r="DM727" s="86"/>
      <c r="DN727" s="84"/>
      <c r="DQ727" s="86"/>
      <c r="DR727" s="85"/>
      <c r="DS727" s="85"/>
      <c r="DT727" s="84"/>
      <c r="DV727" s="84"/>
      <c r="DW727" s="157"/>
      <c r="EB727" s="84"/>
      <c r="EG727" s="84"/>
      <c r="EK727" s="84"/>
      <c r="EO727" s="84"/>
      <c r="ES727" s="84"/>
      <c r="EW727" s="84"/>
    </row>
    <row r="728" customFormat="false" ht="12.75" hidden="false" customHeight="false" outlineLevel="0" collapsed="false">
      <c r="A728" s="37"/>
      <c r="E728" s="83"/>
      <c r="J728" s="84"/>
      <c r="N728" s="84"/>
      <c r="R728" s="84"/>
      <c r="V728" s="84"/>
      <c r="Z728" s="84"/>
      <c r="AD728" s="84"/>
      <c r="AH728" s="84"/>
      <c r="AL728" s="84"/>
      <c r="AP728" s="84"/>
      <c r="AT728" s="84"/>
      <c r="AX728" s="84"/>
      <c r="BB728" s="85"/>
      <c r="BC728" s="84"/>
      <c r="BD728" s="84"/>
      <c r="BF728" s="84"/>
      <c r="BL728" s="84"/>
      <c r="BP728" s="86"/>
      <c r="BV728" s="84"/>
      <c r="CA728" s="84"/>
      <c r="CF728" s="84"/>
      <c r="CK728" s="84"/>
      <c r="CP728" s="84"/>
      <c r="CS728" s="86"/>
      <c r="CT728" s="84"/>
      <c r="CW728" s="86"/>
      <c r="CX728" s="84"/>
      <c r="DA728" s="86"/>
      <c r="DB728" s="84"/>
      <c r="DE728" s="86"/>
      <c r="DF728" s="84"/>
      <c r="DI728" s="86"/>
      <c r="DJ728" s="84"/>
      <c r="DM728" s="86"/>
      <c r="DN728" s="84"/>
      <c r="DQ728" s="86"/>
      <c r="DR728" s="85"/>
      <c r="DS728" s="85"/>
      <c r="DT728" s="84"/>
      <c r="DV728" s="84"/>
      <c r="DW728" s="157"/>
      <c r="EB728" s="84"/>
      <c r="EG728" s="84"/>
      <c r="EK728" s="84"/>
      <c r="EO728" s="84"/>
      <c r="ES728" s="84"/>
      <c r="EW728" s="84"/>
    </row>
    <row r="729" customFormat="false" ht="12.75" hidden="false" customHeight="false" outlineLevel="0" collapsed="false">
      <c r="A729" s="37"/>
      <c r="E729" s="83"/>
      <c r="J729" s="84"/>
      <c r="N729" s="84"/>
      <c r="R729" s="84"/>
      <c r="V729" s="84"/>
      <c r="Z729" s="84"/>
      <c r="AD729" s="84"/>
      <c r="AH729" s="84"/>
      <c r="AL729" s="84"/>
      <c r="AP729" s="84"/>
      <c r="AT729" s="84"/>
      <c r="AX729" s="84"/>
      <c r="BB729" s="85"/>
      <c r="BC729" s="84"/>
      <c r="BD729" s="84"/>
      <c r="BF729" s="84"/>
      <c r="BL729" s="84"/>
      <c r="BP729" s="86"/>
      <c r="BV729" s="84"/>
      <c r="CA729" s="84"/>
      <c r="CF729" s="84"/>
      <c r="CK729" s="84"/>
      <c r="CP729" s="84"/>
      <c r="CS729" s="86"/>
      <c r="CT729" s="84"/>
      <c r="CW729" s="86"/>
      <c r="CX729" s="84"/>
      <c r="DA729" s="86"/>
      <c r="DB729" s="84"/>
      <c r="DE729" s="86"/>
      <c r="DF729" s="84"/>
      <c r="DI729" s="86"/>
      <c r="DJ729" s="84"/>
      <c r="DM729" s="86"/>
      <c r="DN729" s="84"/>
      <c r="DQ729" s="86"/>
      <c r="DR729" s="85"/>
      <c r="DS729" s="85"/>
      <c r="DT729" s="84"/>
      <c r="DV729" s="84"/>
      <c r="DW729" s="157"/>
      <c r="EB729" s="84"/>
      <c r="EG729" s="84"/>
      <c r="EK729" s="84"/>
      <c r="EO729" s="84"/>
      <c r="ES729" s="84"/>
      <c r="EW729" s="84"/>
    </row>
    <row r="730" customFormat="false" ht="12.75" hidden="false" customHeight="false" outlineLevel="0" collapsed="false">
      <c r="A730" s="37"/>
      <c r="E730" s="83"/>
      <c r="J730" s="84"/>
      <c r="N730" s="84"/>
      <c r="R730" s="84"/>
      <c r="V730" s="84"/>
      <c r="Z730" s="84"/>
      <c r="AD730" s="84"/>
      <c r="AH730" s="84"/>
      <c r="AL730" s="84"/>
      <c r="AP730" s="84"/>
      <c r="AT730" s="84"/>
      <c r="AX730" s="84"/>
      <c r="BB730" s="85"/>
      <c r="BC730" s="84"/>
      <c r="BD730" s="84"/>
      <c r="BF730" s="84"/>
      <c r="BL730" s="84"/>
      <c r="BP730" s="86"/>
      <c r="BV730" s="84"/>
      <c r="CA730" s="84"/>
      <c r="CF730" s="84"/>
      <c r="CK730" s="84"/>
      <c r="CP730" s="84"/>
      <c r="CS730" s="86"/>
      <c r="CT730" s="84"/>
      <c r="CW730" s="86"/>
      <c r="CX730" s="84"/>
      <c r="DA730" s="86"/>
      <c r="DB730" s="84"/>
      <c r="DE730" s="86"/>
      <c r="DF730" s="84"/>
      <c r="DI730" s="86"/>
      <c r="DJ730" s="84"/>
      <c r="DM730" s="86"/>
      <c r="DN730" s="84"/>
      <c r="DQ730" s="86"/>
      <c r="DR730" s="85"/>
      <c r="DS730" s="85"/>
      <c r="DT730" s="84"/>
      <c r="DV730" s="84"/>
      <c r="DW730" s="157"/>
      <c r="EB730" s="84"/>
      <c r="EG730" s="84"/>
      <c r="EK730" s="84"/>
      <c r="EO730" s="84"/>
      <c r="ES730" s="84"/>
      <c r="EW730" s="84"/>
    </row>
    <row r="731" customFormat="false" ht="12.75" hidden="false" customHeight="false" outlineLevel="0" collapsed="false">
      <c r="A731" s="37"/>
      <c r="E731" s="83"/>
      <c r="J731" s="84"/>
      <c r="N731" s="84"/>
      <c r="R731" s="84"/>
      <c r="V731" s="84"/>
      <c r="Z731" s="84"/>
      <c r="AD731" s="84"/>
      <c r="AH731" s="84"/>
      <c r="AL731" s="84"/>
      <c r="AP731" s="84"/>
      <c r="AT731" s="84"/>
      <c r="AX731" s="84"/>
      <c r="BB731" s="85"/>
      <c r="BC731" s="84"/>
      <c r="BD731" s="84"/>
      <c r="BF731" s="84"/>
      <c r="BL731" s="84"/>
      <c r="BP731" s="86"/>
      <c r="BV731" s="84"/>
      <c r="CA731" s="84"/>
      <c r="CF731" s="84"/>
      <c r="CK731" s="84"/>
      <c r="CP731" s="84"/>
      <c r="CS731" s="86"/>
      <c r="CT731" s="84"/>
      <c r="CW731" s="86"/>
      <c r="CX731" s="84"/>
      <c r="DA731" s="86"/>
      <c r="DB731" s="84"/>
      <c r="DE731" s="86"/>
      <c r="DF731" s="84"/>
      <c r="DI731" s="86"/>
      <c r="DJ731" s="84"/>
      <c r="DM731" s="86"/>
      <c r="DN731" s="84"/>
      <c r="DQ731" s="86"/>
      <c r="DR731" s="85"/>
      <c r="DS731" s="85"/>
      <c r="DT731" s="84"/>
      <c r="DV731" s="84"/>
      <c r="DW731" s="157"/>
      <c r="EB731" s="84"/>
      <c r="EG731" s="84"/>
      <c r="EK731" s="84"/>
      <c r="EO731" s="84"/>
      <c r="ES731" s="84"/>
      <c r="EW731" s="84"/>
    </row>
    <row r="732" customFormat="false" ht="12.75" hidden="false" customHeight="false" outlineLevel="0" collapsed="false">
      <c r="A732" s="37"/>
      <c r="E732" s="83"/>
      <c r="J732" s="84"/>
      <c r="N732" s="84"/>
      <c r="R732" s="84"/>
      <c r="V732" s="84"/>
      <c r="Z732" s="84"/>
      <c r="AD732" s="84"/>
      <c r="AH732" s="84"/>
      <c r="AL732" s="84"/>
      <c r="AP732" s="84"/>
      <c r="AT732" s="84"/>
      <c r="AX732" s="84"/>
      <c r="BB732" s="85"/>
      <c r="BC732" s="84"/>
      <c r="BD732" s="84"/>
      <c r="BF732" s="84"/>
      <c r="BL732" s="84"/>
      <c r="BP732" s="86"/>
      <c r="BV732" s="84"/>
      <c r="CA732" s="84"/>
      <c r="CF732" s="84"/>
      <c r="CK732" s="84"/>
      <c r="CP732" s="84"/>
      <c r="CS732" s="86"/>
      <c r="CT732" s="84"/>
      <c r="CW732" s="86"/>
      <c r="CX732" s="84"/>
      <c r="DA732" s="86"/>
      <c r="DB732" s="84"/>
      <c r="DE732" s="86"/>
      <c r="DF732" s="84"/>
      <c r="DI732" s="86"/>
      <c r="DJ732" s="84"/>
      <c r="DM732" s="86"/>
      <c r="DN732" s="84"/>
      <c r="DQ732" s="86"/>
      <c r="DR732" s="85"/>
      <c r="DS732" s="85"/>
      <c r="DT732" s="84"/>
      <c r="DV732" s="84"/>
      <c r="DW732" s="157"/>
      <c r="EB732" s="84"/>
      <c r="EG732" s="84"/>
      <c r="EK732" s="84"/>
      <c r="EO732" s="84"/>
      <c r="ES732" s="84"/>
      <c r="EW732" s="84"/>
    </row>
    <row r="733" customFormat="false" ht="12.75" hidden="false" customHeight="false" outlineLevel="0" collapsed="false">
      <c r="A733" s="37"/>
      <c r="E733" s="83"/>
      <c r="J733" s="84"/>
      <c r="N733" s="84"/>
      <c r="R733" s="84"/>
      <c r="V733" s="84"/>
      <c r="Z733" s="84"/>
      <c r="AD733" s="84"/>
      <c r="AH733" s="84"/>
      <c r="AL733" s="84"/>
      <c r="AP733" s="84"/>
      <c r="AT733" s="84"/>
      <c r="AX733" s="84"/>
      <c r="BB733" s="85"/>
      <c r="BC733" s="84"/>
      <c r="BD733" s="84"/>
      <c r="BF733" s="84"/>
      <c r="BL733" s="84"/>
      <c r="BP733" s="86"/>
      <c r="BV733" s="84"/>
      <c r="CA733" s="84"/>
      <c r="CF733" s="84"/>
      <c r="CK733" s="84"/>
      <c r="CP733" s="84"/>
      <c r="CS733" s="86"/>
      <c r="CT733" s="84"/>
      <c r="CW733" s="86"/>
      <c r="CX733" s="84"/>
      <c r="DA733" s="86"/>
      <c r="DB733" s="84"/>
      <c r="DE733" s="86"/>
      <c r="DF733" s="84"/>
      <c r="DI733" s="86"/>
      <c r="DJ733" s="84"/>
      <c r="DM733" s="86"/>
      <c r="DN733" s="84"/>
      <c r="DQ733" s="86"/>
      <c r="DR733" s="85"/>
      <c r="DS733" s="85"/>
      <c r="DT733" s="84"/>
      <c r="DV733" s="84"/>
      <c r="DW733" s="157"/>
      <c r="EB733" s="84"/>
      <c r="EG733" s="84"/>
      <c r="EK733" s="84"/>
      <c r="EO733" s="84"/>
      <c r="ES733" s="84"/>
      <c r="EW733" s="84"/>
    </row>
    <row r="734" customFormat="false" ht="12.75" hidden="false" customHeight="false" outlineLevel="0" collapsed="false">
      <c r="A734" s="37"/>
      <c r="E734" s="83"/>
      <c r="J734" s="84"/>
      <c r="N734" s="84"/>
      <c r="R734" s="84"/>
      <c r="V734" s="84"/>
      <c r="Z734" s="84"/>
      <c r="AD734" s="84"/>
      <c r="AH734" s="84"/>
      <c r="AL734" s="84"/>
      <c r="AP734" s="84"/>
      <c r="AT734" s="84"/>
      <c r="AX734" s="84"/>
      <c r="BB734" s="85"/>
      <c r="BC734" s="84"/>
      <c r="BD734" s="84"/>
      <c r="BF734" s="84"/>
      <c r="BL734" s="84"/>
      <c r="BP734" s="86"/>
      <c r="BV734" s="84"/>
      <c r="CA734" s="84"/>
      <c r="CF734" s="84"/>
      <c r="CK734" s="84"/>
      <c r="CP734" s="84"/>
      <c r="CS734" s="86"/>
      <c r="CT734" s="84"/>
      <c r="CW734" s="86"/>
      <c r="CX734" s="84"/>
      <c r="DA734" s="86"/>
      <c r="DB734" s="84"/>
      <c r="DE734" s="86"/>
      <c r="DF734" s="84"/>
      <c r="DI734" s="86"/>
      <c r="DJ734" s="84"/>
      <c r="DM734" s="86"/>
      <c r="DN734" s="84"/>
      <c r="DQ734" s="86"/>
      <c r="DR734" s="85"/>
      <c r="DS734" s="85"/>
      <c r="DT734" s="84"/>
      <c r="DV734" s="84"/>
      <c r="DW734" s="157"/>
      <c r="EB734" s="84"/>
      <c r="EG734" s="84"/>
      <c r="EK734" s="84"/>
      <c r="EO734" s="84"/>
      <c r="ES734" s="84"/>
      <c r="EW734" s="84"/>
    </row>
    <row r="735" customFormat="false" ht="12.75" hidden="false" customHeight="false" outlineLevel="0" collapsed="false">
      <c r="A735" s="37"/>
      <c r="E735" s="83"/>
      <c r="J735" s="84"/>
      <c r="N735" s="84"/>
      <c r="R735" s="84"/>
      <c r="V735" s="84"/>
      <c r="Z735" s="84"/>
      <c r="AD735" s="84"/>
      <c r="AH735" s="84"/>
      <c r="AL735" s="84"/>
      <c r="AP735" s="84"/>
      <c r="AT735" s="84"/>
      <c r="AX735" s="84"/>
      <c r="BB735" s="85"/>
      <c r="BC735" s="84"/>
      <c r="BD735" s="84"/>
      <c r="BF735" s="84"/>
      <c r="BL735" s="84"/>
      <c r="BP735" s="86"/>
      <c r="BV735" s="84"/>
      <c r="CA735" s="84"/>
      <c r="CF735" s="84"/>
      <c r="CK735" s="84"/>
      <c r="CP735" s="84"/>
      <c r="CS735" s="86"/>
      <c r="CT735" s="84"/>
      <c r="CW735" s="86"/>
      <c r="CX735" s="84"/>
      <c r="DA735" s="86"/>
      <c r="DB735" s="84"/>
      <c r="DE735" s="86"/>
      <c r="DF735" s="84"/>
      <c r="DI735" s="86"/>
      <c r="DJ735" s="84"/>
      <c r="DM735" s="86"/>
      <c r="DN735" s="84"/>
      <c r="DQ735" s="86"/>
      <c r="DR735" s="85"/>
      <c r="DS735" s="85"/>
      <c r="DT735" s="84"/>
      <c r="DV735" s="84"/>
      <c r="DW735" s="157"/>
      <c r="EB735" s="84"/>
      <c r="EG735" s="84"/>
      <c r="EK735" s="84"/>
      <c r="EO735" s="84"/>
      <c r="ES735" s="84"/>
      <c r="EW735" s="84"/>
    </row>
    <row r="736" customFormat="false" ht="12.75" hidden="false" customHeight="false" outlineLevel="0" collapsed="false">
      <c r="A736" s="37"/>
      <c r="E736" s="83"/>
      <c r="J736" s="84"/>
      <c r="N736" s="84"/>
      <c r="R736" s="84"/>
      <c r="V736" s="84"/>
      <c r="Z736" s="84"/>
      <c r="AD736" s="84"/>
      <c r="AH736" s="84"/>
      <c r="AL736" s="84"/>
      <c r="AP736" s="84"/>
      <c r="AT736" s="84"/>
      <c r="AX736" s="84"/>
      <c r="BB736" s="85"/>
      <c r="BC736" s="84"/>
      <c r="BD736" s="84"/>
      <c r="BF736" s="84"/>
      <c r="BL736" s="84"/>
      <c r="BP736" s="86"/>
      <c r="BV736" s="84"/>
      <c r="CA736" s="84"/>
      <c r="CF736" s="84"/>
      <c r="CK736" s="84"/>
      <c r="CP736" s="84"/>
      <c r="CS736" s="86"/>
      <c r="CT736" s="84"/>
      <c r="CW736" s="86"/>
      <c r="CX736" s="84"/>
      <c r="DA736" s="86"/>
      <c r="DB736" s="84"/>
      <c r="DE736" s="86"/>
      <c r="DF736" s="84"/>
      <c r="DI736" s="86"/>
      <c r="DJ736" s="84"/>
      <c r="DM736" s="86"/>
      <c r="DN736" s="84"/>
      <c r="DQ736" s="86"/>
      <c r="DR736" s="85"/>
      <c r="DS736" s="85"/>
      <c r="DT736" s="84"/>
      <c r="DV736" s="84"/>
      <c r="DW736" s="157"/>
      <c r="EB736" s="84"/>
      <c r="EG736" s="84"/>
      <c r="EK736" s="84"/>
      <c r="EO736" s="84"/>
      <c r="ES736" s="84"/>
      <c r="EW736" s="84"/>
    </row>
    <row r="737" customFormat="false" ht="12.75" hidden="false" customHeight="false" outlineLevel="0" collapsed="false">
      <c r="A737" s="37"/>
      <c r="E737" s="83"/>
      <c r="J737" s="84"/>
      <c r="N737" s="84"/>
      <c r="R737" s="84"/>
      <c r="V737" s="84"/>
      <c r="Z737" s="84"/>
      <c r="AD737" s="84"/>
      <c r="AH737" s="84"/>
      <c r="AL737" s="84"/>
      <c r="AP737" s="84"/>
      <c r="AT737" s="84"/>
      <c r="AX737" s="84"/>
      <c r="BB737" s="85"/>
      <c r="BC737" s="84"/>
      <c r="BD737" s="84"/>
      <c r="BF737" s="84"/>
      <c r="BL737" s="84"/>
      <c r="BP737" s="86"/>
      <c r="BV737" s="84"/>
      <c r="CA737" s="84"/>
      <c r="CF737" s="84"/>
      <c r="CK737" s="84"/>
      <c r="CP737" s="84"/>
      <c r="CS737" s="86"/>
      <c r="CT737" s="84"/>
      <c r="CW737" s="86"/>
      <c r="CX737" s="84"/>
      <c r="DA737" s="86"/>
      <c r="DB737" s="84"/>
      <c r="DE737" s="86"/>
      <c r="DF737" s="84"/>
      <c r="DI737" s="86"/>
      <c r="DJ737" s="84"/>
      <c r="DM737" s="86"/>
      <c r="DN737" s="84"/>
      <c r="DQ737" s="86"/>
      <c r="DR737" s="85"/>
      <c r="DS737" s="85"/>
      <c r="DT737" s="84"/>
      <c r="DV737" s="84"/>
      <c r="DW737" s="157"/>
      <c r="EB737" s="84"/>
      <c r="EG737" s="84"/>
      <c r="EK737" s="84"/>
      <c r="EO737" s="84"/>
      <c r="ES737" s="84"/>
      <c r="EW737" s="84"/>
    </row>
    <row r="738" customFormat="false" ht="12.75" hidden="false" customHeight="false" outlineLevel="0" collapsed="false">
      <c r="A738" s="37"/>
      <c r="E738" s="83"/>
      <c r="J738" s="84"/>
      <c r="N738" s="84"/>
      <c r="R738" s="84"/>
      <c r="V738" s="84"/>
      <c r="Z738" s="84"/>
      <c r="AD738" s="84"/>
      <c r="AH738" s="84"/>
      <c r="AL738" s="84"/>
      <c r="AP738" s="84"/>
      <c r="AT738" s="84"/>
      <c r="AX738" s="84"/>
      <c r="BB738" s="85"/>
      <c r="BC738" s="84"/>
      <c r="BD738" s="84"/>
      <c r="BF738" s="84"/>
      <c r="BL738" s="84"/>
      <c r="BP738" s="86"/>
      <c r="BV738" s="84"/>
      <c r="CA738" s="84"/>
      <c r="CF738" s="84"/>
      <c r="CK738" s="84"/>
      <c r="CP738" s="84"/>
      <c r="CS738" s="86"/>
      <c r="CT738" s="84"/>
      <c r="CW738" s="86"/>
      <c r="CX738" s="84"/>
      <c r="DA738" s="86"/>
      <c r="DB738" s="84"/>
      <c r="DE738" s="86"/>
      <c r="DF738" s="84"/>
      <c r="DI738" s="86"/>
      <c r="DJ738" s="84"/>
      <c r="DM738" s="86"/>
      <c r="DN738" s="84"/>
      <c r="DQ738" s="86"/>
      <c r="DR738" s="85"/>
      <c r="DS738" s="85"/>
      <c r="DT738" s="84"/>
      <c r="DV738" s="84"/>
      <c r="DW738" s="157"/>
      <c r="EB738" s="84"/>
      <c r="EG738" s="84"/>
      <c r="EK738" s="84"/>
      <c r="EO738" s="84"/>
      <c r="ES738" s="84"/>
      <c r="EW738" s="84"/>
    </row>
    <row r="739" customFormat="false" ht="12.75" hidden="false" customHeight="false" outlineLevel="0" collapsed="false">
      <c r="A739" s="37"/>
      <c r="E739" s="83"/>
      <c r="J739" s="84"/>
      <c r="N739" s="84"/>
      <c r="R739" s="84"/>
      <c r="V739" s="84"/>
      <c r="Z739" s="84"/>
      <c r="AD739" s="84"/>
      <c r="AH739" s="84"/>
      <c r="AL739" s="84"/>
      <c r="AP739" s="84"/>
      <c r="AT739" s="84"/>
      <c r="AX739" s="84"/>
      <c r="BB739" s="85"/>
      <c r="BC739" s="84"/>
      <c r="BD739" s="84"/>
      <c r="BF739" s="84"/>
      <c r="BL739" s="84"/>
      <c r="BP739" s="86"/>
      <c r="BV739" s="84"/>
      <c r="CA739" s="84"/>
      <c r="CF739" s="84"/>
      <c r="CK739" s="84"/>
      <c r="CP739" s="84"/>
      <c r="CS739" s="86"/>
      <c r="CT739" s="84"/>
      <c r="CW739" s="86"/>
      <c r="CX739" s="84"/>
      <c r="DA739" s="86"/>
      <c r="DB739" s="84"/>
      <c r="DE739" s="86"/>
      <c r="DF739" s="84"/>
      <c r="DI739" s="86"/>
      <c r="DJ739" s="84"/>
      <c r="DM739" s="86"/>
      <c r="DN739" s="84"/>
      <c r="DQ739" s="86"/>
      <c r="DR739" s="85"/>
      <c r="DS739" s="85"/>
      <c r="DT739" s="84"/>
      <c r="DV739" s="84"/>
      <c r="DW739" s="157"/>
      <c r="EB739" s="84"/>
      <c r="EG739" s="84"/>
      <c r="EK739" s="84"/>
      <c r="EO739" s="84"/>
      <c r="ES739" s="84"/>
      <c r="EW739" s="84"/>
    </row>
    <row r="740" customFormat="false" ht="12.75" hidden="false" customHeight="false" outlineLevel="0" collapsed="false">
      <c r="A740" s="37"/>
      <c r="E740" s="83"/>
      <c r="J740" s="84"/>
      <c r="N740" s="84"/>
      <c r="R740" s="84"/>
      <c r="V740" s="84"/>
      <c r="Z740" s="84"/>
      <c r="AD740" s="84"/>
      <c r="AH740" s="84"/>
      <c r="AL740" s="84"/>
      <c r="AP740" s="84"/>
      <c r="AT740" s="84"/>
      <c r="AX740" s="84"/>
      <c r="BB740" s="85"/>
      <c r="BC740" s="84"/>
      <c r="BD740" s="84"/>
      <c r="BF740" s="84"/>
      <c r="BL740" s="84"/>
      <c r="BP740" s="86"/>
      <c r="BV740" s="84"/>
      <c r="CA740" s="84"/>
      <c r="CF740" s="84"/>
      <c r="CK740" s="84"/>
      <c r="CP740" s="84"/>
      <c r="CS740" s="86"/>
      <c r="CT740" s="84"/>
      <c r="CW740" s="86"/>
      <c r="CX740" s="84"/>
      <c r="DA740" s="86"/>
      <c r="DB740" s="84"/>
      <c r="DE740" s="86"/>
      <c r="DF740" s="84"/>
      <c r="DI740" s="86"/>
      <c r="DJ740" s="84"/>
      <c r="DM740" s="86"/>
      <c r="DN740" s="84"/>
      <c r="DQ740" s="86"/>
      <c r="DR740" s="85"/>
      <c r="DS740" s="85"/>
      <c r="DT740" s="84"/>
      <c r="DV740" s="84"/>
      <c r="DW740" s="157"/>
      <c r="EB740" s="84"/>
      <c r="EG740" s="84"/>
      <c r="EK740" s="84"/>
      <c r="EO740" s="84"/>
      <c r="ES740" s="84"/>
      <c r="EW740" s="84"/>
    </row>
    <row r="741" customFormat="false" ht="12.75" hidden="false" customHeight="false" outlineLevel="0" collapsed="false">
      <c r="A741" s="37"/>
      <c r="E741" s="83"/>
      <c r="J741" s="84"/>
      <c r="N741" s="84"/>
      <c r="R741" s="84"/>
      <c r="V741" s="84"/>
      <c r="Z741" s="84"/>
      <c r="AD741" s="84"/>
      <c r="AH741" s="84"/>
      <c r="AL741" s="84"/>
      <c r="AP741" s="84"/>
      <c r="AT741" s="84"/>
      <c r="AX741" s="84"/>
      <c r="BB741" s="85"/>
      <c r="BC741" s="84"/>
      <c r="BD741" s="84"/>
      <c r="BF741" s="84"/>
      <c r="BL741" s="84"/>
      <c r="BP741" s="86"/>
      <c r="BV741" s="84"/>
      <c r="CA741" s="84"/>
      <c r="CF741" s="84"/>
      <c r="CK741" s="84"/>
      <c r="CP741" s="84"/>
      <c r="CS741" s="86"/>
      <c r="CT741" s="84"/>
      <c r="CW741" s="86"/>
      <c r="CX741" s="84"/>
      <c r="DA741" s="86"/>
      <c r="DB741" s="84"/>
      <c r="DE741" s="86"/>
      <c r="DF741" s="84"/>
      <c r="DI741" s="86"/>
      <c r="DJ741" s="84"/>
      <c r="DM741" s="86"/>
      <c r="DN741" s="84"/>
      <c r="DQ741" s="86"/>
      <c r="DR741" s="85"/>
      <c r="DS741" s="85"/>
      <c r="DT741" s="84"/>
      <c r="DV741" s="84"/>
      <c r="DW741" s="157"/>
      <c r="EB741" s="84"/>
      <c r="EG741" s="84"/>
      <c r="EK741" s="84"/>
      <c r="EO741" s="84"/>
      <c r="ES741" s="84"/>
      <c r="EW741" s="84"/>
    </row>
    <row r="742" customFormat="false" ht="12.75" hidden="false" customHeight="false" outlineLevel="0" collapsed="false">
      <c r="A742" s="37"/>
      <c r="E742" s="83"/>
      <c r="J742" s="84"/>
      <c r="N742" s="84"/>
      <c r="R742" s="84"/>
      <c r="V742" s="84"/>
      <c r="Z742" s="84"/>
      <c r="AD742" s="84"/>
      <c r="AH742" s="84"/>
      <c r="AL742" s="84"/>
      <c r="AP742" s="84"/>
      <c r="AT742" s="84"/>
      <c r="AX742" s="84"/>
      <c r="BB742" s="85"/>
      <c r="BC742" s="84"/>
      <c r="BD742" s="84"/>
      <c r="BF742" s="84"/>
      <c r="BL742" s="84"/>
      <c r="BP742" s="86"/>
      <c r="BV742" s="84"/>
      <c r="CA742" s="84"/>
      <c r="CF742" s="84"/>
      <c r="CK742" s="84"/>
      <c r="CP742" s="84"/>
      <c r="CS742" s="86"/>
      <c r="CT742" s="84"/>
      <c r="CW742" s="86"/>
      <c r="CX742" s="84"/>
      <c r="DA742" s="86"/>
      <c r="DB742" s="84"/>
      <c r="DE742" s="86"/>
      <c r="DF742" s="84"/>
      <c r="DI742" s="86"/>
      <c r="DJ742" s="84"/>
      <c r="DM742" s="86"/>
      <c r="DN742" s="84"/>
      <c r="DQ742" s="86"/>
      <c r="DR742" s="85"/>
      <c r="DS742" s="85"/>
      <c r="DT742" s="84"/>
      <c r="DV742" s="84"/>
      <c r="DW742" s="157"/>
      <c r="EB742" s="84"/>
      <c r="EG742" s="84"/>
      <c r="EK742" s="84"/>
      <c r="EO742" s="84"/>
      <c r="ES742" s="84"/>
      <c r="EW742" s="84"/>
    </row>
    <row r="743" customFormat="false" ht="12.75" hidden="false" customHeight="false" outlineLevel="0" collapsed="false">
      <c r="A743" s="37"/>
      <c r="E743" s="83"/>
      <c r="J743" s="84"/>
      <c r="N743" s="84"/>
      <c r="R743" s="84"/>
      <c r="V743" s="84"/>
      <c r="Z743" s="84"/>
      <c r="AD743" s="84"/>
      <c r="AH743" s="84"/>
      <c r="AL743" s="84"/>
      <c r="AP743" s="84"/>
      <c r="AT743" s="84"/>
      <c r="AX743" s="84"/>
      <c r="BB743" s="85"/>
      <c r="BC743" s="84"/>
      <c r="BD743" s="84"/>
      <c r="BF743" s="84"/>
      <c r="BL743" s="84"/>
      <c r="BP743" s="86"/>
      <c r="BV743" s="84"/>
      <c r="CA743" s="84"/>
      <c r="CF743" s="84"/>
      <c r="CK743" s="84"/>
      <c r="CP743" s="84"/>
      <c r="CS743" s="86"/>
      <c r="CT743" s="84"/>
      <c r="CW743" s="86"/>
      <c r="CX743" s="84"/>
      <c r="DA743" s="86"/>
      <c r="DB743" s="84"/>
      <c r="DE743" s="86"/>
      <c r="DF743" s="84"/>
      <c r="DI743" s="86"/>
      <c r="DJ743" s="84"/>
      <c r="DM743" s="86"/>
      <c r="DN743" s="84"/>
      <c r="DQ743" s="86"/>
      <c r="DR743" s="85"/>
      <c r="DS743" s="85"/>
      <c r="DT743" s="84"/>
      <c r="DV743" s="84"/>
      <c r="DW743" s="157"/>
      <c r="EB743" s="84"/>
      <c r="EG743" s="84"/>
      <c r="EK743" s="84"/>
      <c r="EO743" s="84"/>
      <c r="ES743" s="84"/>
      <c r="EW743" s="84"/>
    </row>
    <row r="744" customFormat="false" ht="12.75" hidden="false" customHeight="false" outlineLevel="0" collapsed="false">
      <c r="A744" s="37"/>
      <c r="E744" s="83"/>
      <c r="J744" s="84"/>
      <c r="N744" s="84"/>
      <c r="R744" s="84"/>
      <c r="V744" s="84"/>
      <c r="Z744" s="84"/>
      <c r="AD744" s="84"/>
      <c r="AH744" s="84"/>
      <c r="AL744" s="84"/>
      <c r="AP744" s="84"/>
      <c r="AT744" s="84"/>
      <c r="AX744" s="84"/>
      <c r="BB744" s="85"/>
      <c r="BC744" s="84"/>
      <c r="BD744" s="84"/>
      <c r="BF744" s="84"/>
      <c r="BL744" s="84"/>
      <c r="BP744" s="86"/>
      <c r="BV744" s="84"/>
      <c r="CA744" s="84"/>
      <c r="CF744" s="84"/>
      <c r="CK744" s="84"/>
      <c r="CP744" s="84"/>
      <c r="CS744" s="86"/>
      <c r="CT744" s="84"/>
      <c r="CW744" s="86"/>
      <c r="CX744" s="84"/>
      <c r="DA744" s="86"/>
      <c r="DB744" s="84"/>
      <c r="DE744" s="86"/>
      <c r="DF744" s="84"/>
      <c r="DI744" s="86"/>
      <c r="DJ744" s="84"/>
      <c r="DM744" s="86"/>
      <c r="DN744" s="84"/>
      <c r="DQ744" s="86"/>
      <c r="DR744" s="85"/>
      <c r="DS744" s="85"/>
      <c r="DT744" s="84"/>
      <c r="DV744" s="84"/>
      <c r="DW744" s="157"/>
      <c r="EB744" s="84"/>
      <c r="EG744" s="84"/>
      <c r="EK744" s="84"/>
      <c r="EO744" s="84"/>
      <c r="ES744" s="84"/>
      <c r="EW744" s="84"/>
    </row>
    <row r="745" customFormat="false" ht="12.75" hidden="false" customHeight="false" outlineLevel="0" collapsed="false">
      <c r="A745" s="37"/>
      <c r="E745" s="83"/>
      <c r="J745" s="84"/>
      <c r="N745" s="84"/>
      <c r="R745" s="84"/>
      <c r="V745" s="84"/>
      <c r="Z745" s="84"/>
      <c r="AD745" s="84"/>
      <c r="AH745" s="84"/>
      <c r="AL745" s="84"/>
      <c r="AP745" s="84"/>
      <c r="AT745" s="84"/>
      <c r="AX745" s="84"/>
      <c r="BB745" s="85"/>
      <c r="BC745" s="84"/>
      <c r="BD745" s="84"/>
      <c r="BF745" s="84"/>
      <c r="BL745" s="84"/>
      <c r="BP745" s="86"/>
      <c r="BV745" s="84"/>
      <c r="CA745" s="84"/>
      <c r="CF745" s="84"/>
      <c r="CK745" s="84"/>
      <c r="CP745" s="84"/>
      <c r="CS745" s="86"/>
      <c r="CT745" s="84"/>
      <c r="CW745" s="86"/>
      <c r="CX745" s="84"/>
      <c r="DA745" s="86"/>
      <c r="DB745" s="84"/>
      <c r="DE745" s="86"/>
      <c r="DF745" s="84"/>
      <c r="DI745" s="86"/>
      <c r="DJ745" s="84"/>
      <c r="DM745" s="86"/>
      <c r="DN745" s="84"/>
      <c r="DQ745" s="86"/>
      <c r="DR745" s="85"/>
      <c r="DS745" s="85"/>
      <c r="DT745" s="84"/>
      <c r="DV745" s="84"/>
      <c r="DW745" s="157"/>
      <c r="EB745" s="84"/>
      <c r="EG745" s="84"/>
      <c r="EK745" s="84"/>
      <c r="EO745" s="84"/>
      <c r="ES745" s="84"/>
      <c r="EW745" s="84"/>
    </row>
    <row r="746" customFormat="false" ht="12.75" hidden="false" customHeight="false" outlineLevel="0" collapsed="false">
      <c r="A746" s="37"/>
      <c r="E746" s="83"/>
      <c r="J746" s="84"/>
      <c r="N746" s="84"/>
      <c r="R746" s="84"/>
      <c r="V746" s="84"/>
      <c r="Z746" s="84"/>
      <c r="AD746" s="84"/>
      <c r="AH746" s="84"/>
      <c r="AL746" s="84"/>
      <c r="AP746" s="84"/>
      <c r="AT746" s="84"/>
      <c r="AX746" s="84"/>
      <c r="BB746" s="85"/>
      <c r="BC746" s="84"/>
      <c r="BD746" s="84"/>
      <c r="BF746" s="84"/>
      <c r="BL746" s="84"/>
      <c r="BP746" s="86"/>
      <c r="BV746" s="84"/>
      <c r="CA746" s="84"/>
      <c r="CF746" s="84"/>
      <c r="CK746" s="84"/>
      <c r="CP746" s="84"/>
      <c r="CS746" s="86"/>
      <c r="CT746" s="84"/>
      <c r="CW746" s="86"/>
      <c r="CX746" s="84"/>
      <c r="DA746" s="86"/>
      <c r="DB746" s="84"/>
      <c r="DE746" s="86"/>
      <c r="DF746" s="84"/>
      <c r="DI746" s="86"/>
      <c r="DJ746" s="84"/>
      <c r="DM746" s="86"/>
      <c r="DN746" s="84"/>
      <c r="DQ746" s="86"/>
      <c r="DR746" s="85"/>
      <c r="DS746" s="85"/>
      <c r="DT746" s="84"/>
      <c r="DV746" s="84"/>
      <c r="DW746" s="157"/>
      <c r="EB746" s="84"/>
      <c r="EG746" s="84"/>
      <c r="EK746" s="84"/>
      <c r="EO746" s="84"/>
      <c r="ES746" s="84"/>
      <c r="EW746" s="84"/>
    </row>
    <row r="747" customFormat="false" ht="12.75" hidden="false" customHeight="false" outlineLevel="0" collapsed="false">
      <c r="A747" s="37"/>
      <c r="E747" s="83"/>
      <c r="J747" s="84"/>
      <c r="N747" s="84"/>
      <c r="R747" s="84"/>
      <c r="V747" s="84"/>
      <c r="Z747" s="84"/>
      <c r="AD747" s="84"/>
      <c r="AH747" s="84"/>
      <c r="AL747" s="84"/>
      <c r="AP747" s="84"/>
      <c r="AT747" s="84"/>
      <c r="AX747" s="84"/>
      <c r="BB747" s="85"/>
      <c r="BC747" s="84"/>
      <c r="BD747" s="84"/>
      <c r="BF747" s="84"/>
      <c r="BL747" s="84"/>
      <c r="BP747" s="86"/>
      <c r="BV747" s="84"/>
      <c r="CA747" s="84"/>
      <c r="CF747" s="84"/>
      <c r="CK747" s="84"/>
      <c r="CP747" s="84"/>
      <c r="CS747" s="86"/>
      <c r="CT747" s="84"/>
      <c r="CW747" s="86"/>
      <c r="CX747" s="84"/>
      <c r="DA747" s="86"/>
      <c r="DB747" s="84"/>
      <c r="DE747" s="86"/>
      <c r="DF747" s="84"/>
      <c r="DI747" s="86"/>
      <c r="DJ747" s="84"/>
      <c r="DM747" s="86"/>
      <c r="DN747" s="84"/>
      <c r="DQ747" s="86"/>
      <c r="DR747" s="85"/>
      <c r="DS747" s="85"/>
      <c r="DT747" s="84"/>
      <c r="DV747" s="84"/>
      <c r="DW747" s="157"/>
      <c r="EB747" s="84"/>
      <c r="EG747" s="84"/>
      <c r="EK747" s="84"/>
      <c r="EO747" s="84"/>
      <c r="ES747" s="84"/>
      <c r="EW747" s="84"/>
    </row>
    <row r="748" customFormat="false" ht="12.75" hidden="false" customHeight="false" outlineLevel="0" collapsed="false">
      <c r="A748" s="37"/>
      <c r="E748" s="83"/>
      <c r="J748" s="84"/>
      <c r="N748" s="84"/>
      <c r="R748" s="84"/>
      <c r="V748" s="84"/>
      <c r="Z748" s="84"/>
      <c r="AD748" s="84"/>
      <c r="AH748" s="84"/>
      <c r="AL748" s="84"/>
      <c r="AP748" s="84"/>
      <c r="AT748" s="84"/>
      <c r="AX748" s="84"/>
      <c r="BB748" s="85"/>
      <c r="BC748" s="84"/>
      <c r="BD748" s="84"/>
      <c r="BF748" s="84"/>
      <c r="BL748" s="84"/>
      <c r="BP748" s="86"/>
      <c r="BV748" s="84"/>
      <c r="CA748" s="84"/>
      <c r="CF748" s="84"/>
      <c r="CK748" s="84"/>
      <c r="CP748" s="84"/>
      <c r="CS748" s="86"/>
      <c r="CT748" s="84"/>
      <c r="CW748" s="86"/>
      <c r="CX748" s="84"/>
      <c r="DA748" s="86"/>
      <c r="DB748" s="84"/>
      <c r="DE748" s="86"/>
      <c r="DF748" s="84"/>
      <c r="DI748" s="86"/>
      <c r="DJ748" s="84"/>
      <c r="DM748" s="86"/>
      <c r="DN748" s="84"/>
      <c r="DQ748" s="86"/>
      <c r="DR748" s="85"/>
      <c r="DS748" s="85"/>
      <c r="DT748" s="84"/>
      <c r="DV748" s="84"/>
      <c r="DW748" s="157"/>
      <c r="EB748" s="84"/>
      <c r="EG748" s="84"/>
      <c r="EK748" s="84"/>
      <c r="EO748" s="84"/>
      <c r="ES748" s="84"/>
      <c r="EW748" s="84"/>
    </row>
    <row r="749" customFormat="false" ht="12.75" hidden="false" customHeight="false" outlineLevel="0" collapsed="false">
      <c r="A749" s="37"/>
      <c r="E749" s="83"/>
      <c r="J749" s="84"/>
      <c r="N749" s="84"/>
      <c r="R749" s="84"/>
      <c r="V749" s="84"/>
      <c r="Z749" s="84"/>
      <c r="AD749" s="84"/>
      <c r="AH749" s="84"/>
      <c r="AL749" s="84"/>
      <c r="AP749" s="84"/>
      <c r="AT749" s="84"/>
      <c r="AX749" s="84"/>
      <c r="BB749" s="85"/>
      <c r="BC749" s="84"/>
      <c r="BD749" s="84"/>
      <c r="BF749" s="84"/>
      <c r="BL749" s="84"/>
      <c r="BP749" s="86"/>
      <c r="BV749" s="84"/>
      <c r="CA749" s="84"/>
      <c r="CF749" s="84"/>
      <c r="CK749" s="84"/>
      <c r="CP749" s="84"/>
      <c r="CS749" s="86"/>
      <c r="CT749" s="84"/>
      <c r="CW749" s="86"/>
      <c r="CX749" s="84"/>
      <c r="DA749" s="86"/>
      <c r="DB749" s="84"/>
      <c r="DE749" s="86"/>
      <c r="DF749" s="84"/>
      <c r="DI749" s="86"/>
      <c r="DJ749" s="84"/>
      <c r="DM749" s="86"/>
      <c r="DN749" s="84"/>
      <c r="DQ749" s="86"/>
      <c r="DR749" s="85"/>
      <c r="DS749" s="85"/>
      <c r="DT749" s="84"/>
      <c r="DV749" s="84"/>
      <c r="DW749" s="157"/>
      <c r="EB749" s="84"/>
      <c r="EG749" s="84"/>
      <c r="EK749" s="84"/>
      <c r="EO749" s="84"/>
      <c r="ES749" s="84"/>
      <c r="EW749" s="84"/>
    </row>
    <row r="750" customFormat="false" ht="12.75" hidden="false" customHeight="false" outlineLevel="0" collapsed="false">
      <c r="A750" s="37"/>
      <c r="E750" s="83"/>
      <c r="J750" s="84"/>
      <c r="N750" s="84"/>
      <c r="R750" s="84"/>
      <c r="V750" s="84"/>
      <c r="Z750" s="84"/>
      <c r="AD750" s="84"/>
      <c r="AH750" s="84"/>
      <c r="AL750" s="84"/>
      <c r="AP750" s="84"/>
      <c r="AT750" s="84"/>
      <c r="AX750" s="84"/>
      <c r="BB750" s="85"/>
      <c r="BC750" s="84"/>
      <c r="BD750" s="84"/>
      <c r="BF750" s="84"/>
      <c r="BL750" s="84"/>
      <c r="BP750" s="86"/>
      <c r="BV750" s="84"/>
      <c r="CA750" s="84"/>
      <c r="CF750" s="84"/>
      <c r="CK750" s="84"/>
      <c r="CP750" s="84"/>
      <c r="CS750" s="86"/>
      <c r="CT750" s="84"/>
      <c r="CW750" s="86"/>
      <c r="CX750" s="84"/>
      <c r="DA750" s="86"/>
      <c r="DB750" s="84"/>
      <c r="DE750" s="86"/>
      <c r="DF750" s="84"/>
      <c r="DI750" s="86"/>
      <c r="DJ750" s="84"/>
      <c r="DM750" s="86"/>
      <c r="DN750" s="84"/>
      <c r="DQ750" s="86"/>
      <c r="DR750" s="85"/>
      <c r="DS750" s="85"/>
      <c r="DT750" s="84"/>
      <c r="DV750" s="84"/>
      <c r="DW750" s="157"/>
      <c r="EB750" s="84"/>
      <c r="EG750" s="84"/>
      <c r="EK750" s="84"/>
      <c r="EO750" s="84"/>
      <c r="ES750" s="84"/>
      <c r="EW750" s="84"/>
    </row>
    <row r="751" customFormat="false" ht="12.75" hidden="false" customHeight="false" outlineLevel="0" collapsed="false">
      <c r="A751" s="37"/>
      <c r="E751" s="83"/>
      <c r="J751" s="84"/>
      <c r="N751" s="84"/>
      <c r="R751" s="84"/>
      <c r="V751" s="84"/>
      <c r="Z751" s="84"/>
      <c r="AD751" s="84"/>
      <c r="AH751" s="84"/>
      <c r="AL751" s="84"/>
      <c r="AP751" s="84"/>
      <c r="AT751" s="84"/>
      <c r="AX751" s="84"/>
      <c r="BB751" s="85"/>
      <c r="BC751" s="84"/>
      <c r="BD751" s="84"/>
      <c r="BF751" s="84"/>
      <c r="BL751" s="84"/>
      <c r="BP751" s="86"/>
      <c r="BV751" s="84"/>
      <c r="CA751" s="84"/>
      <c r="CF751" s="84"/>
      <c r="CK751" s="84"/>
      <c r="CP751" s="84"/>
      <c r="CS751" s="86"/>
      <c r="CT751" s="84"/>
      <c r="CW751" s="86"/>
      <c r="CX751" s="84"/>
      <c r="DA751" s="86"/>
      <c r="DB751" s="84"/>
      <c r="DE751" s="86"/>
      <c r="DF751" s="84"/>
      <c r="DI751" s="86"/>
      <c r="DJ751" s="84"/>
      <c r="DM751" s="86"/>
      <c r="DN751" s="84"/>
      <c r="DQ751" s="86"/>
      <c r="DR751" s="85"/>
      <c r="DS751" s="85"/>
      <c r="DT751" s="84"/>
      <c r="DV751" s="84"/>
      <c r="DW751" s="157"/>
      <c r="EB751" s="84"/>
      <c r="EG751" s="84"/>
      <c r="EK751" s="84"/>
      <c r="EO751" s="84"/>
      <c r="ES751" s="84"/>
      <c r="EW751" s="84"/>
    </row>
    <row r="752" customFormat="false" ht="12.75" hidden="false" customHeight="false" outlineLevel="0" collapsed="false">
      <c r="A752" s="37"/>
      <c r="E752" s="83"/>
      <c r="J752" s="84"/>
      <c r="N752" s="84"/>
      <c r="R752" s="84"/>
      <c r="V752" s="84"/>
      <c r="Z752" s="84"/>
      <c r="AD752" s="84"/>
      <c r="AH752" s="84"/>
      <c r="AL752" s="84"/>
      <c r="AP752" s="84"/>
      <c r="AT752" s="84"/>
      <c r="AX752" s="84"/>
      <c r="BB752" s="85"/>
      <c r="BC752" s="84"/>
      <c r="BD752" s="84"/>
      <c r="BF752" s="84"/>
      <c r="BL752" s="84"/>
      <c r="BP752" s="86"/>
      <c r="BV752" s="84"/>
      <c r="CA752" s="84"/>
      <c r="CF752" s="84"/>
      <c r="CK752" s="84"/>
      <c r="CP752" s="84"/>
      <c r="CS752" s="86"/>
      <c r="CT752" s="84"/>
      <c r="CW752" s="86"/>
      <c r="CX752" s="84"/>
      <c r="DA752" s="86"/>
      <c r="DB752" s="84"/>
      <c r="DE752" s="86"/>
      <c r="DF752" s="84"/>
      <c r="DI752" s="86"/>
      <c r="DJ752" s="84"/>
      <c r="DM752" s="86"/>
      <c r="DN752" s="84"/>
      <c r="DQ752" s="86"/>
      <c r="DR752" s="85"/>
      <c r="DS752" s="85"/>
      <c r="DT752" s="84"/>
      <c r="DV752" s="84"/>
      <c r="DW752" s="157"/>
      <c r="EB752" s="84"/>
      <c r="EG752" s="84"/>
      <c r="EK752" s="84"/>
      <c r="EO752" s="84"/>
      <c r="ES752" s="84"/>
      <c r="EW752" s="84"/>
    </row>
    <row r="753" customFormat="false" ht="12.75" hidden="false" customHeight="false" outlineLevel="0" collapsed="false">
      <c r="A753" s="37"/>
      <c r="E753" s="83"/>
      <c r="J753" s="84"/>
      <c r="N753" s="84"/>
      <c r="R753" s="84"/>
      <c r="V753" s="84"/>
      <c r="Z753" s="84"/>
      <c r="AD753" s="84"/>
      <c r="AH753" s="84"/>
      <c r="AL753" s="84"/>
      <c r="AP753" s="84"/>
      <c r="AT753" s="84"/>
      <c r="AX753" s="84"/>
      <c r="BB753" s="85"/>
      <c r="BC753" s="84"/>
      <c r="BD753" s="84"/>
      <c r="BF753" s="84"/>
      <c r="BL753" s="84"/>
      <c r="BP753" s="86"/>
      <c r="BV753" s="84"/>
      <c r="CA753" s="84"/>
      <c r="CF753" s="84"/>
      <c r="CK753" s="84"/>
      <c r="CP753" s="84"/>
      <c r="CS753" s="86"/>
      <c r="CT753" s="84"/>
      <c r="CW753" s="86"/>
      <c r="CX753" s="84"/>
      <c r="DA753" s="86"/>
      <c r="DB753" s="84"/>
      <c r="DE753" s="86"/>
      <c r="DF753" s="84"/>
      <c r="DI753" s="86"/>
      <c r="DJ753" s="84"/>
      <c r="DM753" s="86"/>
      <c r="DN753" s="84"/>
      <c r="DQ753" s="86"/>
      <c r="DR753" s="85"/>
      <c r="DS753" s="85"/>
      <c r="DT753" s="84"/>
      <c r="DV753" s="84"/>
      <c r="DW753" s="157"/>
      <c r="EB753" s="84"/>
      <c r="EG753" s="84"/>
      <c r="EK753" s="84"/>
      <c r="EO753" s="84"/>
      <c r="ES753" s="84"/>
      <c r="EW753" s="84"/>
    </row>
    <row r="754" customFormat="false" ht="12.75" hidden="false" customHeight="false" outlineLevel="0" collapsed="false">
      <c r="A754" s="37"/>
      <c r="E754" s="83"/>
      <c r="J754" s="84"/>
      <c r="N754" s="84"/>
      <c r="R754" s="84"/>
      <c r="V754" s="84"/>
      <c r="Z754" s="84"/>
      <c r="AD754" s="84"/>
      <c r="AH754" s="84"/>
      <c r="AL754" s="84"/>
      <c r="AP754" s="84"/>
      <c r="AT754" s="84"/>
      <c r="AX754" s="84"/>
      <c r="BB754" s="85"/>
      <c r="BC754" s="84"/>
      <c r="BD754" s="84"/>
      <c r="BF754" s="84"/>
      <c r="BL754" s="84"/>
      <c r="BP754" s="86"/>
      <c r="BV754" s="84"/>
      <c r="CA754" s="84"/>
      <c r="CF754" s="84"/>
      <c r="CK754" s="84"/>
      <c r="CP754" s="84"/>
      <c r="CS754" s="86"/>
      <c r="CT754" s="84"/>
      <c r="CW754" s="86"/>
      <c r="CX754" s="84"/>
      <c r="DA754" s="86"/>
      <c r="DB754" s="84"/>
      <c r="DE754" s="86"/>
      <c r="DF754" s="84"/>
      <c r="DI754" s="86"/>
      <c r="DJ754" s="84"/>
      <c r="DM754" s="86"/>
      <c r="DN754" s="84"/>
      <c r="DQ754" s="86"/>
      <c r="DR754" s="85"/>
      <c r="DS754" s="85"/>
      <c r="DT754" s="84"/>
      <c r="DV754" s="84"/>
      <c r="DW754" s="157"/>
      <c r="EB754" s="84"/>
      <c r="EG754" s="84"/>
      <c r="EK754" s="84"/>
      <c r="EO754" s="84"/>
      <c r="ES754" s="84"/>
      <c r="EW754" s="84"/>
    </row>
    <row r="755" customFormat="false" ht="12.75" hidden="false" customHeight="false" outlineLevel="0" collapsed="false">
      <c r="A755" s="37"/>
      <c r="E755" s="83"/>
      <c r="J755" s="84"/>
      <c r="N755" s="84"/>
      <c r="R755" s="84"/>
      <c r="V755" s="84"/>
      <c r="Z755" s="84"/>
      <c r="AD755" s="84"/>
      <c r="AH755" s="84"/>
      <c r="AL755" s="84"/>
      <c r="AP755" s="84"/>
      <c r="AT755" s="84"/>
      <c r="AX755" s="84"/>
      <c r="BB755" s="85"/>
      <c r="BC755" s="84"/>
      <c r="BD755" s="84"/>
      <c r="BF755" s="84"/>
      <c r="BL755" s="84"/>
      <c r="BP755" s="86"/>
      <c r="BV755" s="84"/>
      <c r="CA755" s="84"/>
      <c r="CF755" s="84"/>
      <c r="CK755" s="84"/>
      <c r="CP755" s="84"/>
      <c r="CS755" s="86"/>
      <c r="CT755" s="84"/>
      <c r="CW755" s="86"/>
      <c r="CX755" s="84"/>
      <c r="DA755" s="86"/>
      <c r="DB755" s="84"/>
      <c r="DE755" s="86"/>
      <c r="DF755" s="84"/>
      <c r="DI755" s="86"/>
      <c r="DJ755" s="84"/>
      <c r="DM755" s="86"/>
      <c r="DN755" s="84"/>
      <c r="DQ755" s="86"/>
      <c r="DR755" s="85"/>
      <c r="DS755" s="85"/>
      <c r="DT755" s="84"/>
      <c r="DV755" s="84"/>
      <c r="DW755" s="157"/>
      <c r="EB755" s="84"/>
      <c r="EG755" s="84"/>
      <c r="EK755" s="84"/>
      <c r="EO755" s="84"/>
      <c r="ES755" s="84"/>
      <c r="EW755" s="84"/>
    </row>
    <row r="756" customFormat="false" ht="12.75" hidden="false" customHeight="false" outlineLevel="0" collapsed="false">
      <c r="A756" s="37"/>
      <c r="E756" s="83"/>
      <c r="J756" s="84"/>
      <c r="N756" s="84"/>
      <c r="R756" s="84"/>
      <c r="V756" s="84"/>
      <c r="Z756" s="84"/>
      <c r="AD756" s="84"/>
      <c r="AH756" s="84"/>
      <c r="AL756" s="84"/>
      <c r="AP756" s="84"/>
      <c r="AT756" s="84"/>
      <c r="AX756" s="84"/>
      <c r="BB756" s="85"/>
      <c r="BC756" s="84"/>
      <c r="BD756" s="84"/>
      <c r="BF756" s="84"/>
      <c r="BL756" s="84"/>
      <c r="BP756" s="86"/>
      <c r="BV756" s="84"/>
      <c r="CA756" s="84"/>
      <c r="CF756" s="84"/>
      <c r="CK756" s="84"/>
      <c r="CP756" s="84"/>
      <c r="CS756" s="86"/>
      <c r="CT756" s="84"/>
      <c r="CW756" s="86"/>
      <c r="CX756" s="84"/>
      <c r="DA756" s="86"/>
      <c r="DB756" s="84"/>
      <c r="DE756" s="86"/>
      <c r="DF756" s="84"/>
      <c r="DI756" s="86"/>
      <c r="DJ756" s="84"/>
      <c r="DM756" s="86"/>
      <c r="DN756" s="84"/>
      <c r="DQ756" s="86"/>
      <c r="DR756" s="85"/>
      <c r="DS756" s="85"/>
      <c r="DT756" s="84"/>
      <c r="DV756" s="84"/>
      <c r="DW756" s="157"/>
      <c r="EB756" s="84"/>
      <c r="EG756" s="84"/>
      <c r="EK756" s="84"/>
      <c r="EO756" s="84"/>
      <c r="ES756" s="84"/>
      <c r="EW756" s="84"/>
    </row>
    <row r="757" customFormat="false" ht="12.75" hidden="false" customHeight="false" outlineLevel="0" collapsed="false">
      <c r="A757" s="37"/>
      <c r="E757" s="83"/>
      <c r="J757" s="84"/>
      <c r="N757" s="84"/>
      <c r="R757" s="84"/>
      <c r="V757" s="84"/>
      <c r="Z757" s="84"/>
      <c r="AD757" s="84"/>
      <c r="AH757" s="84"/>
      <c r="AL757" s="84"/>
      <c r="AP757" s="84"/>
      <c r="AT757" s="84"/>
      <c r="AX757" s="84"/>
      <c r="BB757" s="85"/>
      <c r="BC757" s="84"/>
      <c r="BD757" s="84"/>
      <c r="BF757" s="84"/>
      <c r="BL757" s="84"/>
      <c r="BP757" s="86"/>
      <c r="BV757" s="84"/>
      <c r="CA757" s="84"/>
      <c r="CF757" s="84"/>
      <c r="CK757" s="84"/>
      <c r="CP757" s="84"/>
      <c r="CS757" s="86"/>
      <c r="CT757" s="84"/>
      <c r="CW757" s="86"/>
      <c r="CX757" s="84"/>
      <c r="DA757" s="86"/>
      <c r="DB757" s="84"/>
      <c r="DE757" s="86"/>
      <c r="DF757" s="84"/>
      <c r="DI757" s="86"/>
      <c r="DJ757" s="84"/>
      <c r="DM757" s="86"/>
      <c r="DN757" s="84"/>
      <c r="DQ757" s="86"/>
      <c r="DR757" s="85"/>
      <c r="DS757" s="85"/>
      <c r="DT757" s="84"/>
      <c r="DV757" s="84"/>
      <c r="DW757" s="157"/>
      <c r="EB757" s="84"/>
      <c r="EG757" s="84"/>
      <c r="EK757" s="84"/>
      <c r="EO757" s="84"/>
      <c r="ES757" s="84"/>
      <c r="EW757" s="84"/>
    </row>
    <row r="758" customFormat="false" ht="12.75" hidden="false" customHeight="false" outlineLevel="0" collapsed="false">
      <c r="A758" s="37"/>
      <c r="E758" s="83"/>
      <c r="J758" s="84"/>
      <c r="N758" s="84"/>
      <c r="R758" s="84"/>
      <c r="V758" s="84"/>
      <c r="Z758" s="84"/>
      <c r="AD758" s="84"/>
      <c r="AH758" s="84"/>
      <c r="AL758" s="84"/>
      <c r="AP758" s="84"/>
      <c r="AT758" s="84"/>
      <c r="AX758" s="84"/>
      <c r="BB758" s="85"/>
      <c r="BC758" s="84"/>
      <c r="BD758" s="84"/>
      <c r="BF758" s="84"/>
      <c r="BL758" s="84"/>
      <c r="BP758" s="86"/>
      <c r="BV758" s="84"/>
      <c r="CA758" s="84"/>
      <c r="CF758" s="84"/>
      <c r="CK758" s="84"/>
      <c r="CP758" s="84"/>
      <c r="CS758" s="86"/>
      <c r="CT758" s="84"/>
      <c r="CW758" s="86"/>
      <c r="CX758" s="84"/>
      <c r="DA758" s="86"/>
      <c r="DB758" s="84"/>
      <c r="DE758" s="86"/>
      <c r="DF758" s="84"/>
      <c r="DI758" s="86"/>
      <c r="DJ758" s="84"/>
      <c r="DM758" s="86"/>
      <c r="DN758" s="84"/>
      <c r="DQ758" s="86"/>
      <c r="DR758" s="85"/>
      <c r="DS758" s="85"/>
      <c r="DT758" s="84"/>
      <c r="DV758" s="84"/>
      <c r="DW758" s="157"/>
      <c r="EB758" s="84"/>
      <c r="EG758" s="84"/>
      <c r="EK758" s="84"/>
      <c r="EO758" s="84"/>
      <c r="ES758" s="84"/>
      <c r="EW758" s="84"/>
    </row>
    <row r="759" customFormat="false" ht="12.75" hidden="false" customHeight="false" outlineLevel="0" collapsed="false">
      <c r="A759" s="37"/>
      <c r="E759" s="83"/>
      <c r="J759" s="84"/>
      <c r="N759" s="84"/>
      <c r="R759" s="84"/>
      <c r="V759" s="84"/>
      <c r="Z759" s="84"/>
      <c r="AD759" s="84"/>
      <c r="AH759" s="84"/>
      <c r="AL759" s="84"/>
      <c r="AP759" s="84"/>
      <c r="AT759" s="84"/>
      <c r="AX759" s="84"/>
      <c r="BB759" s="85"/>
      <c r="BC759" s="84"/>
      <c r="BD759" s="84"/>
      <c r="BF759" s="84"/>
      <c r="BL759" s="84"/>
      <c r="BP759" s="86"/>
      <c r="BV759" s="84"/>
      <c r="CA759" s="84"/>
      <c r="CF759" s="84"/>
      <c r="CK759" s="84"/>
      <c r="CP759" s="84"/>
      <c r="CS759" s="86"/>
      <c r="CT759" s="84"/>
      <c r="CW759" s="86"/>
      <c r="CX759" s="84"/>
      <c r="DA759" s="86"/>
      <c r="DB759" s="84"/>
      <c r="DE759" s="86"/>
      <c r="DF759" s="84"/>
      <c r="DI759" s="86"/>
      <c r="DJ759" s="84"/>
      <c r="DM759" s="86"/>
      <c r="DN759" s="84"/>
      <c r="DQ759" s="86"/>
      <c r="DR759" s="85"/>
      <c r="DS759" s="85"/>
      <c r="DT759" s="84"/>
      <c r="DV759" s="84"/>
      <c r="DW759" s="157"/>
      <c r="EB759" s="84"/>
      <c r="EG759" s="84"/>
      <c r="EK759" s="84"/>
      <c r="EO759" s="84"/>
      <c r="ES759" s="84"/>
      <c r="EW759" s="84"/>
    </row>
    <row r="760" customFormat="false" ht="12.75" hidden="false" customHeight="false" outlineLevel="0" collapsed="false">
      <c r="A760" s="37"/>
      <c r="E760" s="83"/>
      <c r="J760" s="84"/>
      <c r="N760" s="84"/>
      <c r="R760" s="84"/>
      <c r="V760" s="84"/>
      <c r="Z760" s="84"/>
      <c r="AD760" s="84"/>
      <c r="AH760" s="84"/>
      <c r="AL760" s="84"/>
      <c r="AP760" s="84"/>
      <c r="AT760" s="84"/>
      <c r="AX760" s="84"/>
      <c r="BB760" s="85"/>
      <c r="BC760" s="84"/>
      <c r="BD760" s="84"/>
      <c r="BF760" s="84"/>
      <c r="BL760" s="84"/>
      <c r="BP760" s="86"/>
      <c r="BV760" s="84"/>
      <c r="CA760" s="84"/>
      <c r="CF760" s="84"/>
      <c r="CK760" s="84"/>
      <c r="CP760" s="84"/>
      <c r="CS760" s="86"/>
      <c r="CT760" s="84"/>
      <c r="CW760" s="86"/>
      <c r="CX760" s="84"/>
      <c r="DA760" s="86"/>
      <c r="DB760" s="84"/>
      <c r="DE760" s="86"/>
      <c r="DF760" s="84"/>
      <c r="DI760" s="86"/>
      <c r="DJ760" s="84"/>
      <c r="DM760" s="86"/>
      <c r="DN760" s="84"/>
      <c r="DQ760" s="86"/>
      <c r="DR760" s="85"/>
      <c r="DS760" s="85"/>
      <c r="DT760" s="84"/>
      <c r="DV760" s="84"/>
      <c r="DW760" s="157"/>
      <c r="EB760" s="84"/>
      <c r="EG760" s="84"/>
      <c r="EK760" s="84"/>
      <c r="EO760" s="84"/>
      <c r="ES760" s="84"/>
      <c r="EW760" s="84"/>
    </row>
    <row r="761" customFormat="false" ht="12.75" hidden="false" customHeight="false" outlineLevel="0" collapsed="false">
      <c r="A761" s="37"/>
      <c r="E761" s="83"/>
      <c r="J761" s="84"/>
      <c r="N761" s="84"/>
      <c r="R761" s="84"/>
      <c r="V761" s="84"/>
      <c r="Z761" s="84"/>
      <c r="AD761" s="84"/>
      <c r="AH761" s="84"/>
      <c r="AL761" s="84"/>
      <c r="AP761" s="84"/>
      <c r="AT761" s="84"/>
      <c r="AX761" s="84"/>
      <c r="BB761" s="85"/>
      <c r="BC761" s="84"/>
      <c r="BD761" s="84"/>
      <c r="BF761" s="84"/>
      <c r="BL761" s="84"/>
      <c r="BP761" s="86"/>
      <c r="BV761" s="84"/>
      <c r="CA761" s="84"/>
      <c r="CF761" s="84"/>
      <c r="CK761" s="84"/>
      <c r="CP761" s="84"/>
      <c r="CS761" s="86"/>
      <c r="CT761" s="84"/>
      <c r="CW761" s="86"/>
      <c r="CX761" s="84"/>
      <c r="DA761" s="86"/>
      <c r="DB761" s="84"/>
      <c r="DE761" s="86"/>
      <c r="DF761" s="84"/>
      <c r="DI761" s="86"/>
      <c r="DJ761" s="84"/>
      <c r="DM761" s="86"/>
      <c r="DN761" s="84"/>
      <c r="DQ761" s="86"/>
      <c r="DR761" s="85"/>
      <c r="DS761" s="85"/>
      <c r="DT761" s="84"/>
      <c r="DV761" s="84"/>
      <c r="DW761" s="157"/>
      <c r="EB761" s="84"/>
      <c r="EG761" s="84"/>
      <c r="EK761" s="84"/>
      <c r="EO761" s="84"/>
      <c r="ES761" s="84"/>
      <c r="EW761" s="84"/>
    </row>
    <row r="762" customFormat="false" ht="12.75" hidden="false" customHeight="false" outlineLevel="0" collapsed="false">
      <c r="A762" s="37"/>
      <c r="E762" s="83"/>
      <c r="J762" s="84"/>
      <c r="N762" s="84"/>
      <c r="R762" s="84"/>
      <c r="V762" s="84"/>
      <c r="Z762" s="84"/>
      <c r="AD762" s="84"/>
      <c r="AH762" s="84"/>
      <c r="AL762" s="84"/>
      <c r="AP762" s="84"/>
      <c r="AT762" s="84"/>
      <c r="AX762" s="84"/>
      <c r="BB762" s="85"/>
      <c r="BC762" s="84"/>
      <c r="BD762" s="84"/>
      <c r="BF762" s="84"/>
      <c r="BL762" s="84"/>
      <c r="BP762" s="86"/>
      <c r="BV762" s="84"/>
      <c r="CA762" s="84"/>
      <c r="CF762" s="84"/>
      <c r="CK762" s="84"/>
      <c r="CP762" s="84"/>
      <c r="CS762" s="86"/>
      <c r="CT762" s="84"/>
      <c r="CW762" s="86"/>
      <c r="CX762" s="84"/>
      <c r="DA762" s="86"/>
      <c r="DB762" s="84"/>
      <c r="DE762" s="86"/>
      <c r="DF762" s="84"/>
      <c r="DI762" s="86"/>
      <c r="DJ762" s="84"/>
      <c r="DM762" s="86"/>
      <c r="DN762" s="84"/>
      <c r="DQ762" s="86"/>
      <c r="DR762" s="85"/>
      <c r="DS762" s="85"/>
      <c r="DT762" s="84"/>
      <c r="DV762" s="84"/>
      <c r="DW762" s="157"/>
      <c r="EB762" s="84"/>
      <c r="EG762" s="84"/>
      <c r="EK762" s="84"/>
      <c r="EO762" s="84"/>
      <c r="ES762" s="84"/>
      <c r="EW762" s="84"/>
    </row>
    <row r="763" customFormat="false" ht="12.75" hidden="false" customHeight="false" outlineLevel="0" collapsed="false">
      <c r="A763" s="37"/>
      <c r="E763" s="83"/>
      <c r="J763" s="84"/>
      <c r="N763" s="84"/>
      <c r="R763" s="84"/>
      <c r="V763" s="84"/>
      <c r="Z763" s="84"/>
      <c r="AD763" s="84"/>
      <c r="AH763" s="84"/>
      <c r="AL763" s="84"/>
      <c r="AP763" s="84"/>
      <c r="AT763" s="84"/>
      <c r="AX763" s="84"/>
      <c r="BB763" s="85"/>
      <c r="BC763" s="84"/>
      <c r="BD763" s="84"/>
      <c r="BF763" s="84"/>
      <c r="BL763" s="84"/>
      <c r="BP763" s="86"/>
      <c r="BV763" s="84"/>
      <c r="CA763" s="84"/>
      <c r="CF763" s="84"/>
      <c r="CK763" s="84"/>
      <c r="CP763" s="84"/>
      <c r="CS763" s="86"/>
      <c r="CT763" s="84"/>
      <c r="CW763" s="86"/>
      <c r="CX763" s="84"/>
      <c r="DA763" s="86"/>
      <c r="DB763" s="84"/>
      <c r="DE763" s="86"/>
      <c r="DF763" s="84"/>
      <c r="DI763" s="86"/>
      <c r="DJ763" s="84"/>
      <c r="DM763" s="86"/>
      <c r="DN763" s="84"/>
      <c r="DQ763" s="86"/>
      <c r="DR763" s="85"/>
      <c r="DS763" s="85"/>
      <c r="DT763" s="84"/>
      <c r="DV763" s="84"/>
      <c r="DW763" s="157"/>
      <c r="EB763" s="84"/>
      <c r="EG763" s="84"/>
      <c r="EK763" s="84"/>
      <c r="EO763" s="84"/>
      <c r="ES763" s="84"/>
      <c r="EW763" s="84"/>
    </row>
    <row r="764" customFormat="false" ht="12.75" hidden="false" customHeight="false" outlineLevel="0" collapsed="false">
      <c r="A764" s="37"/>
      <c r="E764" s="83"/>
      <c r="J764" s="84"/>
      <c r="N764" s="84"/>
      <c r="R764" s="84"/>
      <c r="V764" s="84"/>
      <c r="Z764" s="84"/>
      <c r="AD764" s="84"/>
      <c r="AH764" s="84"/>
      <c r="AL764" s="84"/>
      <c r="AP764" s="84"/>
      <c r="AT764" s="84"/>
      <c r="AX764" s="84"/>
      <c r="BB764" s="85"/>
      <c r="BC764" s="84"/>
      <c r="BD764" s="84"/>
      <c r="BF764" s="84"/>
      <c r="BL764" s="84"/>
      <c r="BP764" s="86"/>
      <c r="BV764" s="84"/>
      <c r="CA764" s="84"/>
      <c r="CF764" s="84"/>
      <c r="CK764" s="84"/>
      <c r="CP764" s="84"/>
      <c r="CS764" s="86"/>
      <c r="CT764" s="84"/>
      <c r="CW764" s="86"/>
      <c r="CX764" s="84"/>
      <c r="DA764" s="86"/>
      <c r="DB764" s="84"/>
      <c r="DE764" s="86"/>
      <c r="DF764" s="84"/>
      <c r="DI764" s="86"/>
      <c r="DJ764" s="84"/>
      <c r="DM764" s="86"/>
      <c r="DN764" s="84"/>
      <c r="DQ764" s="86"/>
      <c r="DR764" s="85"/>
      <c r="DS764" s="85"/>
      <c r="DT764" s="84"/>
      <c r="DV764" s="84"/>
      <c r="DW764" s="157"/>
      <c r="EB764" s="84"/>
      <c r="EG764" s="84"/>
      <c r="EK764" s="84"/>
      <c r="EO764" s="84"/>
      <c r="ES764" s="84"/>
      <c r="EW764" s="84"/>
    </row>
    <row r="765" customFormat="false" ht="12.75" hidden="false" customHeight="false" outlineLevel="0" collapsed="false">
      <c r="A765" s="37"/>
      <c r="E765" s="83"/>
      <c r="J765" s="84"/>
      <c r="N765" s="84"/>
      <c r="R765" s="84"/>
      <c r="V765" s="84"/>
      <c r="Z765" s="84"/>
      <c r="AD765" s="84"/>
      <c r="AH765" s="84"/>
      <c r="AL765" s="84"/>
      <c r="AP765" s="84"/>
      <c r="AT765" s="84"/>
      <c r="AX765" s="84"/>
      <c r="BB765" s="85"/>
      <c r="BC765" s="84"/>
      <c r="BD765" s="84"/>
      <c r="BF765" s="84"/>
      <c r="BL765" s="84"/>
      <c r="BP765" s="86"/>
      <c r="BV765" s="84"/>
      <c r="CA765" s="84"/>
      <c r="CF765" s="84"/>
      <c r="CK765" s="84"/>
      <c r="CP765" s="84"/>
      <c r="CS765" s="86"/>
      <c r="CT765" s="84"/>
      <c r="CW765" s="86"/>
      <c r="CX765" s="84"/>
      <c r="DA765" s="86"/>
      <c r="DB765" s="84"/>
      <c r="DE765" s="86"/>
      <c r="DF765" s="84"/>
      <c r="DI765" s="86"/>
      <c r="DJ765" s="84"/>
      <c r="DM765" s="86"/>
      <c r="DN765" s="84"/>
      <c r="DQ765" s="86"/>
      <c r="DR765" s="85"/>
      <c r="DS765" s="85"/>
      <c r="DT765" s="84"/>
      <c r="DV765" s="84"/>
      <c r="DW765" s="157"/>
      <c r="EB765" s="84"/>
      <c r="EG765" s="84"/>
      <c r="EK765" s="84"/>
      <c r="EO765" s="84"/>
      <c r="ES765" s="84"/>
      <c r="EW765" s="84"/>
    </row>
    <row r="766" customFormat="false" ht="12.75" hidden="false" customHeight="false" outlineLevel="0" collapsed="false">
      <c r="A766" s="37"/>
      <c r="E766" s="83"/>
      <c r="J766" s="84"/>
      <c r="N766" s="84"/>
      <c r="R766" s="84"/>
      <c r="V766" s="84"/>
      <c r="Z766" s="84"/>
      <c r="AD766" s="84"/>
      <c r="AH766" s="84"/>
      <c r="AL766" s="84"/>
      <c r="AP766" s="84"/>
      <c r="AT766" s="84"/>
      <c r="AX766" s="84"/>
      <c r="BB766" s="85"/>
      <c r="BC766" s="84"/>
      <c r="BD766" s="84"/>
      <c r="BF766" s="84"/>
      <c r="BL766" s="84"/>
      <c r="BP766" s="86"/>
      <c r="BV766" s="84"/>
      <c r="CA766" s="84"/>
      <c r="CF766" s="84"/>
      <c r="CK766" s="84"/>
      <c r="CP766" s="84"/>
      <c r="CS766" s="86"/>
      <c r="CT766" s="84"/>
      <c r="CW766" s="86"/>
      <c r="CX766" s="84"/>
      <c r="DA766" s="86"/>
      <c r="DB766" s="84"/>
      <c r="DE766" s="86"/>
      <c r="DF766" s="84"/>
      <c r="DI766" s="86"/>
      <c r="DJ766" s="84"/>
      <c r="DM766" s="86"/>
      <c r="DN766" s="84"/>
      <c r="DQ766" s="86"/>
      <c r="DR766" s="85"/>
      <c r="DS766" s="85"/>
      <c r="DT766" s="84"/>
      <c r="DV766" s="84"/>
      <c r="DW766" s="157"/>
      <c r="EB766" s="84"/>
      <c r="EG766" s="84"/>
      <c r="EK766" s="84"/>
      <c r="EO766" s="84"/>
      <c r="ES766" s="84"/>
      <c r="EW766" s="84"/>
    </row>
    <row r="767" customFormat="false" ht="12.75" hidden="false" customHeight="false" outlineLevel="0" collapsed="false">
      <c r="A767" s="37"/>
      <c r="E767" s="83"/>
      <c r="J767" s="84"/>
      <c r="N767" s="84"/>
      <c r="R767" s="84"/>
      <c r="V767" s="84"/>
      <c r="Z767" s="84"/>
      <c r="AD767" s="84"/>
      <c r="AH767" s="84"/>
      <c r="AL767" s="84"/>
      <c r="AP767" s="84"/>
      <c r="AT767" s="84"/>
      <c r="AX767" s="84"/>
      <c r="BB767" s="85"/>
      <c r="BC767" s="84"/>
      <c r="BD767" s="84"/>
      <c r="BF767" s="84"/>
      <c r="BL767" s="84"/>
      <c r="BP767" s="86"/>
      <c r="BV767" s="84"/>
      <c r="CA767" s="84"/>
      <c r="CF767" s="84"/>
      <c r="CK767" s="84"/>
      <c r="CP767" s="84"/>
      <c r="CS767" s="86"/>
      <c r="CT767" s="84"/>
      <c r="CW767" s="86"/>
      <c r="CX767" s="84"/>
      <c r="DA767" s="86"/>
      <c r="DB767" s="84"/>
      <c r="DE767" s="86"/>
      <c r="DF767" s="84"/>
      <c r="DI767" s="86"/>
      <c r="DJ767" s="84"/>
      <c r="DM767" s="86"/>
      <c r="DN767" s="84"/>
      <c r="DQ767" s="86"/>
      <c r="DR767" s="85"/>
      <c r="DS767" s="85"/>
      <c r="DT767" s="84"/>
      <c r="DV767" s="84"/>
      <c r="DW767" s="157"/>
      <c r="EB767" s="84"/>
      <c r="EG767" s="84"/>
      <c r="EK767" s="84"/>
      <c r="EO767" s="84"/>
      <c r="ES767" s="84"/>
      <c r="EW767" s="84"/>
    </row>
    <row r="768" customFormat="false" ht="12.75" hidden="false" customHeight="false" outlineLevel="0" collapsed="false">
      <c r="A768" s="37"/>
      <c r="E768" s="83"/>
      <c r="J768" s="84"/>
      <c r="N768" s="84"/>
      <c r="R768" s="84"/>
      <c r="V768" s="84"/>
      <c r="Z768" s="84"/>
      <c r="AD768" s="84"/>
      <c r="AH768" s="84"/>
      <c r="AL768" s="84"/>
      <c r="AP768" s="84"/>
      <c r="AT768" s="84"/>
      <c r="AX768" s="84"/>
      <c r="BB768" s="85"/>
      <c r="BC768" s="84"/>
      <c r="BD768" s="84"/>
      <c r="BF768" s="84"/>
      <c r="BL768" s="84"/>
      <c r="BP768" s="86"/>
      <c r="BV768" s="84"/>
      <c r="CA768" s="84"/>
      <c r="CF768" s="84"/>
      <c r="CK768" s="84"/>
      <c r="CP768" s="84"/>
      <c r="CS768" s="86"/>
      <c r="CT768" s="84"/>
      <c r="CW768" s="86"/>
      <c r="CX768" s="84"/>
      <c r="DA768" s="86"/>
      <c r="DB768" s="84"/>
      <c r="DE768" s="86"/>
      <c r="DF768" s="84"/>
      <c r="DI768" s="86"/>
      <c r="DJ768" s="84"/>
      <c r="DM768" s="86"/>
      <c r="DN768" s="84"/>
      <c r="DQ768" s="86"/>
      <c r="DR768" s="85"/>
      <c r="DS768" s="85"/>
      <c r="DT768" s="84"/>
      <c r="DV768" s="84"/>
      <c r="DW768" s="157"/>
      <c r="EB768" s="84"/>
      <c r="EG768" s="84"/>
      <c r="EK768" s="84"/>
      <c r="EO768" s="84"/>
      <c r="ES768" s="84"/>
      <c r="EW768" s="84"/>
    </row>
    <row r="769" customFormat="false" ht="12.75" hidden="false" customHeight="false" outlineLevel="0" collapsed="false">
      <c r="A769" s="37"/>
      <c r="E769" s="83"/>
      <c r="J769" s="84"/>
      <c r="N769" s="84"/>
      <c r="R769" s="84"/>
      <c r="V769" s="84"/>
      <c r="Z769" s="84"/>
      <c r="AD769" s="84"/>
      <c r="AH769" s="84"/>
      <c r="AL769" s="84"/>
      <c r="AP769" s="84"/>
      <c r="AT769" s="84"/>
      <c r="AX769" s="84"/>
      <c r="BB769" s="85"/>
      <c r="BC769" s="84"/>
      <c r="BD769" s="84"/>
      <c r="BF769" s="84"/>
      <c r="BL769" s="84"/>
      <c r="BP769" s="86"/>
      <c r="BV769" s="84"/>
      <c r="CA769" s="84"/>
      <c r="CF769" s="84"/>
      <c r="CK769" s="84"/>
      <c r="CP769" s="84"/>
      <c r="CS769" s="86"/>
      <c r="CT769" s="84"/>
      <c r="CW769" s="86"/>
      <c r="CX769" s="84"/>
      <c r="DA769" s="86"/>
      <c r="DB769" s="84"/>
      <c r="DE769" s="86"/>
      <c r="DF769" s="84"/>
      <c r="DI769" s="86"/>
      <c r="DJ769" s="84"/>
      <c r="DM769" s="86"/>
      <c r="DN769" s="84"/>
      <c r="DQ769" s="86"/>
      <c r="DR769" s="85"/>
      <c r="DS769" s="85"/>
      <c r="DT769" s="84"/>
      <c r="DV769" s="84"/>
      <c r="DW769" s="157"/>
      <c r="EB769" s="84"/>
      <c r="EG769" s="84"/>
      <c r="EK769" s="84"/>
      <c r="EO769" s="84"/>
      <c r="ES769" s="84"/>
      <c r="EW769" s="84"/>
    </row>
    <row r="770" customFormat="false" ht="12.75" hidden="false" customHeight="false" outlineLevel="0" collapsed="false">
      <c r="A770" s="37"/>
      <c r="E770" s="83"/>
      <c r="J770" s="84"/>
      <c r="N770" s="84"/>
      <c r="R770" s="84"/>
      <c r="V770" s="84"/>
      <c r="Z770" s="84"/>
      <c r="AD770" s="84"/>
      <c r="AH770" s="84"/>
      <c r="AL770" s="84"/>
      <c r="AP770" s="84"/>
      <c r="AT770" s="84"/>
      <c r="AX770" s="84"/>
      <c r="BB770" s="85"/>
      <c r="BC770" s="84"/>
      <c r="BD770" s="84"/>
      <c r="BF770" s="84"/>
      <c r="BL770" s="84"/>
      <c r="BP770" s="86"/>
      <c r="BV770" s="84"/>
      <c r="CA770" s="84"/>
      <c r="CF770" s="84"/>
      <c r="CK770" s="84"/>
      <c r="CP770" s="84"/>
      <c r="CS770" s="86"/>
      <c r="CT770" s="84"/>
      <c r="CW770" s="86"/>
      <c r="CX770" s="84"/>
      <c r="DA770" s="86"/>
      <c r="DB770" s="84"/>
      <c r="DE770" s="86"/>
      <c r="DF770" s="84"/>
      <c r="DI770" s="86"/>
      <c r="DJ770" s="84"/>
      <c r="DM770" s="86"/>
      <c r="DN770" s="84"/>
      <c r="DQ770" s="86"/>
      <c r="DR770" s="85"/>
      <c r="DS770" s="85"/>
      <c r="DT770" s="84"/>
      <c r="DV770" s="84"/>
      <c r="DW770" s="157"/>
      <c r="EB770" s="84"/>
      <c r="EG770" s="84"/>
      <c r="EK770" s="84"/>
      <c r="EO770" s="84"/>
      <c r="ES770" s="84"/>
      <c r="EW770" s="84"/>
    </row>
    <row r="771" customFormat="false" ht="12.75" hidden="false" customHeight="false" outlineLevel="0" collapsed="false">
      <c r="A771" s="37"/>
      <c r="E771" s="83"/>
      <c r="J771" s="84"/>
      <c r="N771" s="84"/>
      <c r="R771" s="84"/>
      <c r="V771" s="84"/>
      <c r="Z771" s="84"/>
      <c r="AD771" s="84"/>
      <c r="AH771" s="84"/>
      <c r="AL771" s="84"/>
      <c r="AP771" s="84"/>
      <c r="AT771" s="84"/>
      <c r="AX771" s="84"/>
      <c r="BB771" s="85"/>
      <c r="BC771" s="84"/>
      <c r="BD771" s="84"/>
      <c r="BF771" s="84"/>
      <c r="BL771" s="84"/>
      <c r="BP771" s="86"/>
      <c r="BV771" s="84"/>
      <c r="CA771" s="84"/>
      <c r="CF771" s="84"/>
      <c r="CK771" s="84"/>
      <c r="CP771" s="84"/>
      <c r="CS771" s="86"/>
      <c r="CT771" s="84"/>
      <c r="CW771" s="86"/>
      <c r="CX771" s="84"/>
      <c r="DA771" s="86"/>
      <c r="DB771" s="84"/>
      <c r="DE771" s="86"/>
      <c r="DF771" s="84"/>
      <c r="DI771" s="86"/>
      <c r="DJ771" s="84"/>
      <c r="DM771" s="86"/>
      <c r="DN771" s="84"/>
      <c r="DQ771" s="86"/>
      <c r="DR771" s="85"/>
      <c r="DS771" s="85"/>
      <c r="DT771" s="84"/>
      <c r="DV771" s="84"/>
      <c r="DW771" s="157"/>
      <c r="EB771" s="84"/>
      <c r="EG771" s="84"/>
      <c r="EK771" s="84"/>
      <c r="EO771" s="84"/>
      <c r="ES771" s="84"/>
      <c r="EW771" s="84"/>
    </row>
    <row r="772" customFormat="false" ht="12.75" hidden="false" customHeight="false" outlineLevel="0" collapsed="false">
      <c r="A772" s="37"/>
      <c r="E772" s="83"/>
      <c r="J772" s="84"/>
      <c r="N772" s="84"/>
      <c r="R772" s="84"/>
      <c r="V772" s="84"/>
      <c r="Z772" s="84"/>
      <c r="AD772" s="84"/>
      <c r="AH772" s="84"/>
      <c r="AL772" s="84"/>
      <c r="AP772" s="84"/>
      <c r="AT772" s="84"/>
      <c r="AX772" s="84"/>
      <c r="BB772" s="85"/>
      <c r="BC772" s="84"/>
      <c r="BD772" s="84"/>
      <c r="BF772" s="84"/>
      <c r="BL772" s="84"/>
      <c r="BP772" s="86"/>
      <c r="BV772" s="84"/>
      <c r="CA772" s="84"/>
      <c r="CF772" s="84"/>
      <c r="CK772" s="84"/>
      <c r="CP772" s="84"/>
      <c r="CS772" s="86"/>
      <c r="CT772" s="84"/>
      <c r="CW772" s="86"/>
      <c r="CX772" s="84"/>
      <c r="DA772" s="86"/>
      <c r="DB772" s="84"/>
      <c r="DE772" s="86"/>
      <c r="DF772" s="84"/>
      <c r="DI772" s="86"/>
      <c r="DJ772" s="84"/>
      <c r="DM772" s="86"/>
      <c r="DN772" s="84"/>
      <c r="DQ772" s="86"/>
      <c r="DR772" s="85"/>
      <c r="DS772" s="85"/>
      <c r="DT772" s="84"/>
      <c r="DV772" s="84"/>
      <c r="DW772" s="157"/>
      <c r="EB772" s="84"/>
      <c r="EG772" s="84"/>
      <c r="EK772" s="84"/>
      <c r="EO772" s="84"/>
      <c r="ES772" s="84"/>
      <c r="EW772" s="84"/>
    </row>
    <row r="773" customFormat="false" ht="12.75" hidden="false" customHeight="false" outlineLevel="0" collapsed="false">
      <c r="A773" s="37"/>
      <c r="E773" s="83"/>
      <c r="J773" s="84"/>
      <c r="N773" s="84"/>
      <c r="R773" s="84"/>
      <c r="V773" s="84"/>
      <c r="Z773" s="84"/>
      <c r="AD773" s="84"/>
      <c r="AH773" s="84"/>
      <c r="AL773" s="84"/>
      <c r="AP773" s="84"/>
      <c r="AT773" s="84"/>
      <c r="AX773" s="84"/>
      <c r="BB773" s="85"/>
      <c r="BC773" s="84"/>
      <c r="BD773" s="84"/>
      <c r="BF773" s="84"/>
      <c r="BL773" s="84"/>
      <c r="BP773" s="86"/>
      <c r="BV773" s="84"/>
      <c r="CA773" s="84"/>
      <c r="CF773" s="84"/>
      <c r="CK773" s="84"/>
      <c r="CP773" s="84"/>
      <c r="CS773" s="86"/>
      <c r="CT773" s="84"/>
      <c r="CW773" s="86"/>
      <c r="CX773" s="84"/>
      <c r="DA773" s="86"/>
      <c r="DB773" s="84"/>
      <c r="DE773" s="86"/>
      <c r="DF773" s="84"/>
      <c r="DI773" s="86"/>
      <c r="DJ773" s="84"/>
      <c r="DM773" s="86"/>
      <c r="DN773" s="84"/>
      <c r="DQ773" s="86"/>
      <c r="DR773" s="85"/>
      <c r="DS773" s="85"/>
      <c r="DT773" s="84"/>
      <c r="DV773" s="84"/>
      <c r="DW773" s="157"/>
      <c r="EB773" s="84"/>
      <c r="EG773" s="84"/>
      <c r="EK773" s="84"/>
      <c r="EO773" s="84"/>
      <c r="ES773" s="84"/>
      <c r="EW773" s="84"/>
    </row>
    <row r="774" customFormat="false" ht="12.75" hidden="false" customHeight="false" outlineLevel="0" collapsed="false">
      <c r="A774" s="37"/>
      <c r="E774" s="83"/>
      <c r="J774" s="84"/>
      <c r="N774" s="84"/>
      <c r="R774" s="84"/>
      <c r="V774" s="84"/>
      <c r="Z774" s="84"/>
      <c r="AD774" s="84"/>
      <c r="AH774" s="84"/>
      <c r="AL774" s="84"/>
      <c r="AP774" s="84"/>
      <c r="AT774" s="84"/>
      <c r="AX774" s="84"/>
      <c r="BB774" s="85"/>
      <c r="BC774" s="84"/>
      <c r="BD774" s="84"/>
      <c r="BF774" s="84"/>
      <c r="BL774" s="84"/>
      <c r="BP774" s="86"/>
      <c r="BV774" s="84"/>
      <c r="CA774" s="84"/>
      <c r="CF774" s="84"/>
      <c r="CK774" s="84"/>
      <c r="CP774" s="84"/>
      <c r="CS774" s="86"/>
      <c r="CT774" s="84"/>
      <c r="CW774" s="86"/>
      <c r="CX774" s="84"/>
      <c r="DA774" s="86"/>
      <c r="DB774" s="84"/>
      <c r="DE774" s="86"/>
      <c r="DF774" s="84"/>
      <c r="DI774" s="86"/>
      <c r="DJ774" s="84"/>
      <c r="DM774" s="86"/>
      <c r="DN774" s="84"/>
      <c r="DQ774" s="86"/>
      <c r="DR774" s="85"/>
      <c r="DS774" s="85"/>
      <c r="DT774" s="84"/>
      <c r="DV774" s="84"/>
      <c r="DW774" s="157"/>
      <c r="EB774" s="84"/>
      <c r="EG774" s="84"/>
      <c r="EK774" s="84"/>
      <c r="EO774" s="84"/>
      <c r="ES774" s="84"/>
      <c r="EW774" s="84"/>
    </row>
    <row r="775" customFormat="false" ht="12.75" hidden="false" customHeight="false" outlineLevel="0" collapsed="false">
      <c r="A775" s="37"/>
      <c r="E775" s="83"/>
      <c r="J775" s="84"/>
      <c r="N775" s="84"/>
      <c r="R775" s="84"/>
      <c r="V775" s="84"/>
      <c r="Z775" s="84"/>
      <c r="AD775" s="84"/>
      <c r="AH775" s="84"/>
      <c r="AL775" s="84"/>
      <c r="AP775" s="84"/>
      <c r="AT775" s="84"/>
      <c r="AX775" s="84"/>
      <c r="BB775" s="85"/>
      <c r="BC775" s="84"/>
      <c r="BD775" s="84"/>
      <c r="BF775" s="84"/>
      <c r="BL775" s="84"/>
      <c r="BP775" s="86"/>
      <c r="BV775" s="84"/>
      <c r="CA775" s="84"/>
      <c r="CF775" s="84"/>
      <c r="CK775" s="84"/>
      <c r="CP775" s="84"/>
      <c r="CS775" s="86"/>
      <c r="CT775" s="84"/>
      <c r="CW775" s="86"/>
      <c r="CX775" s="84"/>
      <c r="DA775" s="86"/>
      <c r="DB775" s="84"/>
      <c r="DE775" s="86"/>
      <c r="DF775" s="84"/>
      <c r="DI775" s="86"/>
      <c r="DJ775" s="84"/>
      <c r="DM775" s="86"/>
      <c r="DN775" s="84"/>
      <c r="DQ775" s="86"/>
      <c r="DR775" s="85"/>
      <c r="DS775" s="85"/>
      <c r="DT775" s="84"/>
      <c r="DV775" s="84"/>
      <c r="DW775" s="157"/>
      <c r="EB775" s="84"/>
      <c r="EG775" s="84"/>
      <c r="EK775" s="84"/>
      <c r="EO775" s="84"/>
      <c r="ES775" s="84"/>
      <c r="EW775" s="84"/>
    </row>
    <row r="776" customFormat="false" ht="12.75" hidden="false" customHeight="false" outlineLevel="0" collapsed="false">
      <c r="A776" s="37"/>
      <c r="E776" s="83"/>
      <c r="J776" s="84"/>
      <c r="N776" s="84"/>
      <c r="R776" s="84"/>
      <c r="V776" s="84"/>
      <c r="Z776" s="84"/>
      <c r="AD776" s="84"/>
      <c r="AH776" s="84"/>
      <c r="AL776" s="84"/>
      <c r="AP776" s="84"/>
      <c r="AT776" s="84"/>
      <c r="AX776" s="84"/>
      <c r="BB776" s="85"/>
      <c r="BC776" s="84"/>
      <c r="BD776" s="84"/>
      <c r="BF776" s="84"/>
      <c r="BL776" s="84"/>
      <c r="BP776" s="86"/>
      <c r="BV776" s="84"/>
      <c r="CA776" s="84"/>
      <c r="CF776" s="84"/>
      <c r="CK776" s="84"/>
      <c r="CP776" s="84"/>
      <c r="CS776" s="86"/>
      <c r="CT776" s="84"/>
      <c r="CW776" s="86"/>
      <c r="CX776" s="84"/>
      <c r="DA776" s="86"/>
      <c r="DB776" s="84"/>
      <c r="DE776" s="86"/>
      <c r="DF776" s="84"/>
      <c r="DI776" s="86"/>
      <c r="DJ776" s="84"/>
      <c r="DM776" s="86"/>
      <c r="DN776" s="84"/>
      <c r="DQ776" s="86"/>
      <c r="DR776" s="85"/>
      <c r="DS776" s="85"/>
      <c r="DT776" s="84"/>
      <c r="DV776" s="84"/>
      <c r="DW776" s="157"/>
      <c r="EB776" s="84"/>
      <c r="EG776" s="84"/>
      <c r="EK776" s="84"/>
      <c r="EO776" s="84"/>
      <c r="ES776" s="84"/>
      <c r="EW776" s="84"/>
    </row>
    <row r="777" customFormat="false" ht="12.75" hidden="false" customHeight="false" outlineLevel="0" collapsed="false">
      <c r="A777" s="37"/>
      <c r="E777" s="83"/>
      <c r="J777" s="84"/>
      <c r="N777" s="84"/>
      <c r="R777" s="84"/>
      <c r="V777" s="84"/>
      <c r="Z777" s="84"/>
      <c r="AD777" s="84"/>
      <c r="AH777" s="84"/>
      <c r="AL777" s="84"/>
      <c r="AP777" s="84"/>
      <c r="AT777" s="84"/>
      <c r="AX777" s="84"/>
      <c r="BB777" s="85"/>
      <c r="BC777" s="84"/>
      <c r="BD777" s="84"/>
      <c r="BF777" s="84"/>
      <c r="BL777" s="84"/>
      <c r="BP777" s="86"/>
      <c r="BV777" s="84"/>
      <c r="CA777" s="84"/>
      <c r="CF777" s="84"/>
      <c r="CK777" s="84"/>
      <c r="CP777" s="84"/>
      <c r="CS777" s="86"/>
      <c r="CT777" s="84"/>
      <c r="CW777" s="86"/>
      <c r="CX777" s="84"/>
      <c r="DA777" s="86"/>
      <c r="DB777" s="84"/>
      <c r="DE777" s="86"/>
      <c r="DF777" s="84"/>
      <c r="DI777" s="86"/>
      <c r="DJ777" s="84"/>
      <c r="DM777" s="86"/>
      <c r="DN777" s="84"/>
      <c r="DQ777" s="86"/>
      <c r="DR777" s="85"/>
      <c r="DS777" s="85"/>
      <c r="DT777" s="84"/>
      <c r="DV777" s="84"/>
      <c r="DW777" s="157"/>
      <c r="EB777" s="84"/>
      <c r="EG777" s="84"/>
      <c r="EK777" s="84"/>
      <c r="EO777" s="84"/>
      <c r="ES777" s="84"/>
      <c r="EW777" s="84"/>
    </row>
    <row r="778" customFormat="false" ht="12.75" hidden="false" customHeight="false" outlineLevel="0" collapsed="false">
      <c r="A778" s="37"/>
      <c r="E778" s="83"/>
      <c r="J778" s="84"/>
      <c r="N778" s="84"/>
      <c r="R778" s="84"/>
      <c r="V778" s="84"/>
      <c r="Z778" s="84"/>
      <c r="AD778" s="84"/>
      <c r="AH778" s="84"/>
      <c r="AL778" s="84"/>
      <c r="AP778" s="84"/>
      <c r="AT778" s="84"/>
      <c r="AX778" s="84"/>
      <c r="BB778" s="85"/>
      <c r="BC778" s="84"/>
      <c r="BD778" s="84"/>
      <c r="BF778" s="84"/>
      <c r="BL778" s="84"/>
      <c r="BP778" s="86"/>
      <c r="BV778" s="84"/>
      <c r="CA778" s="84"/>
      <c r="CF778" s="84"/>
      <c r="CK778" s="84"/>
      <c r="CP778" s="84"/>
      <c r="CS778" s="86"/>
      <c r="CT778" s="84"/>
      <c r="CW778" s="86"/>
      <c r="CX778" s="84"/>
      <c r="DA778" s="86"/>
      <c r="DB778" s="84"/>
      <c r="DE778" s="86"/>
      <c r="DF778" s="84"/>
      <c r="DI778" s="86"/>
      <c r="DJ778" s="84"/>
      <c r="DM778" s="86"/>
      <c r="DN778" s="84"/>
      <c r="DQ778" s="86"/>
      <c r="DR778" s="85"/>
      <c r="DS778" s="85"/>
      <c r="DT778" s="84"/>
      <c r="DV778" s="84"/>
      <c r="DW778" s="157"/>
      <c r="EB778" s="84"/>
      <c r="EG778" s="84"/>
      <c r="EK778" s="84"/>
      <c r="EO778" s="84"/>
      <c r="ES778" s="84"/>
      <c r="EW778" s="84"/>
    </row>
    <row r="779" customFormat="false" ht="12.75" hidden="false" customHeight="false" outlineLevel="0" collapsed="false">
      <c r="A779" s="37"/>
      <c r="E779" s="83"/>
      <c r="J779" s="84"/>
      <c r="N779" s="84"/>
      <c r="R779" s="84"/>
      <c r="V779" s="84"/>
      <c r="Z779" s="84"/>
      <c r="AD779" s="84"/>
      <c r="AH779" s="84"/>
      <c r="AL779" s="84"/>
      <c r="AP779" s="84"/>
      <c r="AT779" s="84"/>
      <c r="AX779" s="84"/>
      <c r="BB779" s="85"/>
      <c r="BC779" s="84"/>
      <c r="BD779" s="84"/>
      <c r="BF779" s="84"/>
      <c r="BL779" s="84"/>
      <c r="BP779" s="86"/>
      <c r="BV779" s="84"/>
      <c r="CA779" s="84"/>
      <c r="CF779" s="84"/>
      <c r="CK779" s="84"/>
      <c r="CP779" s="84"/>
      <c r="CS779" s="86"/>
      <c r="CT779" s="84"/>
      <c r="CW779" s="86"/>
      <c r="CX779" s="84"/>
      <c r="DA779" s="86"/>
      <c r="DB779" s="84"/>
      <c r="DE779" s="86"/>
      <c r="DF779" s="84"/>
      <c r="DI779" s="86"/>
      <c r="DJ779" s="84"/>
      <c r="DM779" s="86"/>
      <c r="DN779" s="84"/>
      <c r="DQ779" s="86"/>
      <c r="DR779" s="85"/>
      <c r="DS779" s="85"/>
      <c r="DT779" s="84"/>
      <c r="DV779" s="84"/>
      <c r="DW779" s="157"/>
      <c r="EB779" s="84"/>
      <c r="EG779" s="84"/>
      <c r="EK779" s="84"/>
      <c r="EO779" s="84"/>
      <c r="ES779" s="84"/>
      <c r="EW779" s="84"/>
    </row>
    <row r="780" customFormat="false" ht="12.75" hidden="false" customHeight="false" outlineLevel="0" collapsed="false">
      <c r="A780" s="37"/>
      <c r="E780" s="83"/>
      <c r="J780" s="84"/>
      <c r="N780" s="84"/>
      <c r="R780" s="84"/>
      <c r="V780" s="84"/>
      <c r="Z780" s="84"/>
      <c r="AD780" s="84"/>
      <c r="AH780" s="84"/>
      <c r="AL780" s="84"/>
      <c r="AP780" s="84"/>
      <c r="AT780" s="84"/>
      <c r="AX780" s="84"/>
      <c r="BB780" s="85"/>
      <c r="BC780" s="84"/>
      <c r="BD780" s="84"/>
      <c r="BF780" s="84"/>
      <c r="BL780" s="84"/>
      <c r="BP780" s="86"/>
      <c r="BV780" s="84"/>
      <c r="CA780" s="84"/>
      <c r="CF780" s="84"/>
      <c r="CK780" s="84"/>
      <c r="CP780" s="84"/>
      <c r="CS780" s="86"/>
      <c r="CT780" s="84"/>
      <c r="CW780" s="86"/>
      <c r="CX780" s="84"/>
      <c r="DA780" s="86"/>
      <c r="DB780" s="84"/>
      <c r="DE780" s="86"/>
      <c r="DF780" s="84"/>
      <c r="DI780" s="86"/>
      <c r="DJ780" s="84"/>
      <c r="DM780" s="86"/>
      <c r="DN780" s="84"/>
      <c r="DQ780" s="86"/>
      <c r="DR780" s="85"/>
      <c r="DS780" s="85"/>
      <c r="DT780" s="84"/>
      <c r="DV780" s="84"/>
      <c r="DW780" s="157"/>
      <c r="EB780" s="84"/>
      <c r="EG780" s="84"/>
      <c r="EK780" s="84"/>
      <c r="EO780" s="84"/>
      <c r="ES780" s="84"/>
      <c r="EW780" s="84"/>
    </row>
    <row r="781" customFormat="false" ht="12.75" hidden="false" customHeight="false" outlineLevel="0" collapsed="false">
      <c r="A781" s="37"/>
      <c r="E781" s="83"/>
      <c r="J781" s="84"/>
      <c r="N781" s="84"/>
      <c r="R781" s="84"/>
      <c r="V781" s="84"/>
      <c r="Z781" s="84"/>
      <c r="AD781" s="84"/>
      <c r="AH781" s="84"/>
      <c r="AL781" s="84"/>
      <c r="AP781" s="84"/>
      <c r="AT781" s="84"/>
      <c r="AX781" s="84"/>
      <c r="BB781" s="85"/>
      <c r="BC781" s="84"/>
      <c r="BD781" s="84"/>
      <c r="BF781" s="84"/>
      <c r="BL781" s="84"/>
      <c r="BP781" s="86"/>
      <c r="BV781" s="84"/>
      <c r="CA781" s="84"/>
      <c r="CF781" s="84"/>
      <c r="CK781" s="84"/>
      <c r="CP781" s="84"/>
      <c r="CS781" s="86"/>
      <c r="CT781" s="84"/>
      <c r="CW781" s="86"/>
      <c r="CX781" s="84"/>
      <c r="DA781" s="86"/>
      <c r="DB781" s="84"/>
      <c r="DE781" s="86"/>
      <c r="DF781" s="84"/>
      <c r="DI781" s="86"/>
      <c r="DJ781" s="84"/>
      <c r="DM781" s="86"/>
      <c r="DN781" s="84"/>
      <c r="DQ781" s="86"/>
      <c r="DR781" s="85"/>
      <c r="DS781" s="85"/>
      <c r="DT781" s="84"/>
      <c r="DV781" s="84"/>
      <c r="DW781" s="157"/>
      <c r="EB781" s="84"/>
      <c r="EG781" s="84"/>
      <c r="EK781" s="84"/>
      <c r="EO781" s="84"/>
      <c r="ES781" s="84"/>
      <c r="EW781" s="84"/>
    </row>
    <row r="782" customFormat="false" ht="12.75" hidden="false" customHeight="false" outlineLevel="0" collapsed="false">
      <c r="A782" s="37"/>
      <c r="E782" s="83"/>
      <c r="J782" s="84"/>
      <c r="N782" s="84"/>
      <c r="R782" s="84"/>
      <c r="V782" s="84"/>
      <c r="Z782" s="84"/>
      <c r="AD782" s="84"/>
      <c r="AH782" s="84"/>
      <c r="AL782" s="84"/>
      <c r="AP782" s="84"/>
      <c r="AT782" s="84"/>
      <c r="AX782" s="84"/>
      <c r="BB782" s="85"/>
      <c r="BC782" s="84"/>
      <c r="BD782" s="84"/>
      <c r="BF782" s="84"/>
      <c r="BL782" s="84"/>
      <c r="BP782" s="86"/>
      <c r="BV782" s="84"/>
      <c r="CA782" s="84"/>
      <c r="CF782" s="84"/>
      <c r="CK782" s="84"/>
      <c r="CP782" s="84"/>
      <c r="CS782" s="86"/>
      <c r="CT782" s="84"/>
      <c r="CW782" s="86"/>
      <c r="CX782" s="84"/>
      <c r="DA782" s="86"/>
      <c r="DB782" s="84"/>
      <c r="DE782" s="86"/>
      <c r="DF782" s="84"/>
      <c r="DI782" s="86"/>
      <c r="DJ782" s="84"/>
      <c r="DM782" s="86"/>
      <c r="DN782" s="84"/>
      <c r="DQ782" s="86"/>
      <c r="DR782" s="85"/>
      <c r="DS782" s="85"/>
      <c r="DT782" s="84"/>
      <c r="DV782" s="84"/>
      <c r="DW782" s="157"/>
      <c r="EB782" s="84"/>
      <c r="EG782" s="84"/>
      <c r="EK782" s="84"/>
      <c r="EO782" s="84"/>
      <c r="ES782" s="84"/>
      <c r="EW782" s="84"/>
    </row>
    <row r="783" customFormat="false" ht="12.75" hidden="false" customHeight="false" outlineLevel="0" collapsed="false">
      <c r="A783" s="37"/>
      <c r="E783" s="83"/>
      <c r="J783" s="84"/>
      <c r="N783" s="84"/>
      <c r="R783" s="84"/>
      <c r="V783" s="84"/>
      <c r="Z783" s="84"/>
      <c r="AD783" s="84"/>
      <c r="AH783" s="84"/>
      <c r="AL783" s="84"/>
      <c r="AP783" s="84"/>
      <c r="AT783" s="84"/>
      <c r="AX783" s="84"/>
      <c r="BB783" s="85"/>
      <c r="BC783" s="84"/>
      <c r="BD783" s="84"/>
      <c r="BF783" s="84"/>
      <c r="BL783" s="84"/>
      <c r="BP783" s="86"/>
      <c r="BV783" s="84"/>
      <c r="CA783" s="84"/>
      <c r="CF783" s="84"/>
      <c r="CK783" s="84"/>
      <c r="CP783" s="84"/>
      <c r="CS783" s="86"/>
      <c r="CT783" s="84"/>
      <c r="CW783" s="86"/>
      <c r="CX783" s="84"/>
      <c r="DA783" s="86"/>
      <c r="DB783" s="84"/>
      <c r="DE783" s="86"/>
      <c r="DF783" s="84"/>
      <c r="DI783" s="86"/>
      <c r="DJ783" s="84"/>
      <c r="DM783" s="86"/>
      <c r="DN783" s="84"/>
      <c r="DQ783" s="86"/>
      <c r="DR783" s="85"/>
      <c r="DS783" s="85"/>
      <c r="DT783" s="84"/>
      <c r="DV783" s="84"/>
      <c r="DW783" s="157"/>
      <c r="EB783" s="84"/>
      <c r="EG783" s="84"/>
      <c r="EK783" s="84"/>
      <c r="EO783" s="84"/>
      <c r="ES783" s="84"/>
      <c r="EW783" s="84"/>
    </row>
    <row r="784" customFormat="false" ht="12.75" hidden="false" customHeight="false" outlineLevel="0" collapsed="false">
      <c r="A784" s="37"/>
      <c r="E784" s="83"/>
      <c r="J784" s="84"/>
      <c r="N784" s="84"/>
      <c r="R784" s="84"/>
      <c r="V784" s="84"/>
      <c r="Z784" s="84"/>
      <c r="AD784" s="84"/>
      <c r="AH784" s="84"/>
      <c r="AL784" s="84"/>
      <c r="AP784" s="84"/>
      <c r="AT784" s="84"/>
      <c r="AX784" s="84"/>
      <c r="BB784" s="85"/>
      <c r="BC784" s="84"/>
      <c r="BD784" s="84"/>
      <c r="BF784" s="84"/>
      <c r="BL784" s="84"/>
      <c r="BP784" s="86"/>
      <c r="BV784" s="84"/>
      <c r="CA784" s="84"/>
      <c r="CF784" s="84"/>
      <c r="CK784" s="84"/>
      <c r="CP784" s="84"/>
      <c r="CS784" s="86"/>
      <c r="CT784" s="84"/>
      <c r="CW784" s="86"/>
      <c r="CX784" s="84"/>
      <c r="DA784" s="86"/>
      <c r="DB784" s="84"/>
      <c r="DE784" s="86"/>
      <c r="DF784" s="84"/>
      <c r="DI784" s="86"/>
      <c r="DJ784" s="84"/>
      <c r="DM784" s="86"/>
      <c r="DN784" s="84"/>
      <c r="DQ784" s="86"/>
      <c r="DR784" s="85"/>
      <c r="DS784" s="85"/>
      <c r="DT784" s="84"/>
      <c r="DV784" s="84"/>
      <c r="DW784" s="157"/>
      <c r="EB784" s="84"/>
      <c r="EG784" s="84"/>
      <c r="EK784" s="84"/>
      <c r="EO784" s="84"/>
      <c r="ES784" s="84"/>
      <c r="EW784" s="84"/>
    </row>
    <row r="785" customFormat="false" ht="12.75" hidden="false" customHeight="false" outlineLevel="0" collapsed="false">
      <c r="A785" s="37"/>
      <c r="E785" s="83"/>
      <c r="J785" s="84"/>
      <c r="N785" s="84"/>
      <c r="R785" s="84"/>
      <c r="V785" s="84"/>
      <c r="Z785" s="84"/>
      <c r="AD785" s="84"/>
      <c r="AH785" s="84"/>
      <c r="AL785" s="84"/>
      <c r="AP785" s="84"/>
      <c r="AT785" s="84"/>
      <c r="AX785" s="84"/>
      <c r="BB785" s="85"/>
      <c r="BC785" s="84"/>
      <c r="BD785" s="84"/>
      <c r="BF785" s="84"/>
      <c r="BL785" s="84"/>
      <c r="BP785" s="86"/>
      <c r="BV785" s="84"/>
      <c r="CA785" s="84"/>
      <c r="CF785" s="84"/>
      <c r="CK785" s="84"/>
      <c r="CP785" s="84"/>
      <c r="CS785" s="86"/>
      <c r="CT785" s="84"/>
      <c r="CW785" s="86"/>
      <c r="CX785" s="84"/>
      <c r="DA785" s="86"/>
      <c r="DB785" s="84"/>
      <c r="DE785" s="86"/>
      <c r="DF785" s="84"/>
      <c r="DI785" s="86"/>
      <c r="DJ785" s="84"/>
      <c r="DM785" s="86"/>
      <c r="DN785" s="84"/>
      <c r="DQ785" s="86"/>
      <c r="DR785" s="85"/>
      <c r="DS785" s="85"/>
      <c r="DT785" s="84"/>
      <c r="DV785" s="84"/>
      <c r="DW785" s="157"/>
      <c r="EB785" s="84"/>
      <c r="EG785" s="84"/>
      <c r="EK785" s="84"/>
      <c r="EO785" s="84"/>
      <c r="ES785" s="84"/>
      <c r="EW785" s="84"/>
    </row>
    <row r="786" customFormat="false" ht="12.75" hidden="false" customHeight="false" outlineLevel="0" collapsed="false">
      <c r="A786" s="37"/>
      <c r="E786" s="83"/>
      <c r="J786" s="84"/>
      <c r="N786" s="84"/>
      <c r="R786" s="84"/>
      <c r="V786" s="84"/>
      <c r="Z786" s="84"/>
      <c r="AD786" s="84"/>
      <c r="AH786" s="84"/>
      <c r="AL786" s="84"/>
      <c r="AP786" s="84"/>
      <c r="AT786" s="84"/>
      <c r="AX786" s="84"/>
      <c r="BB786" s="85"/>
      <c r="BC786" s="84"/>
      <c r="BD786" s="84"/>
      <c r="BF786" s="84"/>
      <c r="BL786" s="84"/>
      <c r="BP786" s="86"/>
      <c r="BV786" s="84"/>
      <c r="CA786" s="84"/>
      <c r="CF786" s="84"/>
      <c r="CK786" s="84"/>
      <c r="CP786" s="84"/>
      <c r="CS786" s="86"/>
      <c r="CT786" s="84"/>
      <c r="CW786" s="86"/>
      <c r="CX786" s="84"/>
      <c r="DA786" s="86"/>
      <c r="DB786" s="84"/>
      <c r="DE786" s="86"/>
      <c r="DF786" s="84"/>
      <c r="DI786" s="86"/>
      <c r="DJ786" s="84"/>
      <c r="DM786" s="86"/>
      <c r="DN786" s="84"/>
      <c r="DQ786" s="86"/>
      <c r="DR786" s="85"/>
      <c r="DS786" s="85"/>
      <c r="DT786" s="84"/>
      <c r="DV786" s="84"/>
      <c r="DW786" s="157"/>
      <c r="EB786" s="84"/>
      <c r="EG786" s="84"/>
      <c r="EK786" s="84"/>
      <c r="EO786" s="84"/>
      <c r="ES786" s="84"/>
      <c r="EW786" s="84"/>
    </row>
    <row r="787" customFormat="false" ht="12.75" hidden="false" customHeight="false" outlineLevel="0" collapsed="false">
      <c r="A787" s="37"/>
      <c r="E787" s="83"/>
      <c r="J787" s="84"/>
      <c r="N787" s="84"/>
      <c r="R787" s="84"/>
      <c r="V787" s="84"/>
      <c r="Z787" s="84"/>
      <c r="AD787" s="84"/>
      <c r="AH787" s="84"/>
      <c r="AL787" s="84"/>
      <c r="AP787" s="84"/>
      <c r="AT787" s="84"/>
      <c r="AX787" s="84"/>
      <c r="BB787" s="85"/>
      <c r="BC787" s="84"/>
      <c r="BD787" s="84"/>
      <c r="BF787" s="84"/>
      <c r="BL787" s="84"/>
      <c r="BP787" s="86"/>
      <c r="BV787" s="84"/>
      <c r="CA787" s="84"/>
      <c r="CF787" s="84"/>
      <c r="CK787" s="84"/>
      <c r="CP787" s="84"/>
      <c r="CS787" s="86"/>
      <c r="CT787" s="84"/>
      <c r="CW787" s="86"/>
      <c r="CX787" s="84"/>
      <c r="DA787" s="86"/>
      <c r="DB787" s="84"/>
      <c r="DE787" s="86"/>
      <c r="DF787" s="84"/>
      <c r="DI787" s="86"/>
      <c r="DJ787" s="84"/>
      <c r="DM787" s="86"/>
      <c r="DN787" s="84"/>
      <c r="DQ787" s="86"/>
      <c r="DR787" s="85"/>
      <c r="DS787" s="85"/>
      <c r="DT787" s="84"/>
      <c r="DV787" s="84"/>
      <c r="DW787" s="157"/>
      <c r="EB787" s="84"/>
      <c r="EG787" s="84"/>
      <c r="EK787" s="84"/>
      <c r="EO787" s="84"/>
      <c r="ES787" s="84"/>
      <c r="EW787" s="84"/>
    </row>
    <row r="788" customFormat="false" ht="12.75" hidden="false" customHeight="false" outlineLevel="0" collapsed="false">
      <c r="A788" s="37"/>
      <c r="E788" s="83"/>
      <c r="J788" s="84"/>
      <c r="N788" s="84"/>
      <c r="R788" s="84"/>
      <c r="V788" s="84"/>
      <c r="Z788" s="84"/>
      <c r="AD788" s="84"/>
      <c r="AH788" s="84"/>
      <c r="AL788" s="84"/>
      <c r="AP788" s="84"/>
      <c r="AT788" s="84"/>
      <c r="AX788" s="84"/>
      <c r="BB788" s="85"/>
      <c r="BC788" s="84"/>
      <c r="BD788" s="84"/>
      <c r="BF788" s="84"/>
      <c r="BL788" s="84"/>
      <c r="BP788" s="86"/>
      <c r="BV788" s="84"/>
      <c r="CA788" s="84"/>
      <c r="CF788" s="84"/>
      <c r="CK788" s="84"/>
      <c r="CP788" s="84"/>
      <c r="CS788" s="86"/>
      <c r="CT788" s="84"/>
      <c r="CW788" s="86"/>
      <c r="CX788" s="84"/>
      <c r="DA788" s="86"/>
      <c r="DB788" s="84"/>
      <c r="DE788" s="86"/>
      <c r="DF788" s="84"/>
      <c r="DI788" s="86"/>
      <c r="DJ788" s="84"/>
      <c r="DM788" s="86"/>
      <c r="DN788" s="84"/>
      <c r="DQ788" s="86"/>
      <c r="DR788" s="85"/>
      <c r="DS788" s="85"/>
      <c r="DT788" s="84"/>
      <c r="DV788" s="84"/>
      <c r="DW788" s="157"/>
      <c r="EB788" s="84"/>
      <c r="EG788" s="84"/>
      <c r="EK788" s="84"/>
      <c r="EO788" s="84"/>
      <c r="ES788" s="84"/>
      <c r="EW788" s="84"/>
    </row>
    <row r="789" customFormat="false" ht="12.75" hidden="false" customHeight="false" outlineLevel="0" collapsed="false">
      <c r="A789" s="37"/>
      <c r="E789" s="83"/>
      <c r="J789" s="84"/>
      <c r="N789" s="84"/>
      <c r="R789" s="84"/>
      <c r="V789" s="84"/>
      <c r="Z789" s="84"/>
      <c r="AD789" s="84"/>
      <c r="AH789" s="84"/>
      <c r="AL789" s="84"/>
      <c r="AP789" s="84"/>
      <c r="AT789" s="84"/>
      <c r="AX789" s="84"/>
      <c r="BB789" s="85"/>
      <c r="BC789" s="84"/>
      <c r="BD789" s="84"/>
      <c r="BF789" s="84"/>
      <c r="BL789" s="84"/>
      <c r="BP789" s="86"/>
      <c r="BV789" s="84"/>
      <c r="CA789" s="84"/>
      <c r="CF789" s="84"/>
      <c r="CK789" s="84"/>
      <c r="CP789" s="84"/>
      <c r="CS789" s="86"/>
      <c r="CT789" s="84"/>
      <c r="CW789" s="86"/>
      <c r="CX789" s="84"/>
      <c r="DA789" s="86"/>
      <c r="DB789" s="84"/>
      <c r="DE789" s="86"/>
      <c r="DF789" s="84"/>
      <c r="DI789" s="86"/>
      <c r="DJ789" s="84"/>
      <c r="DM789" s="86"/>
      <c r="DN789" s="84"/>
      <c r="DQ789" s="86"/>
      <c r="DR789" s="85"/>
      <c r="DS789" s="85"/>
      <c r="DT789" s="84"/>
      <c r="DV789" s="84"/>
      <c r="DW789" s="157"/>
      <c r="EB789" s="84"/>
      <c r="EG789" s="84"/>
      <c r="EK789" s="84"/>
      <c r="EO789" s="84"/>
      <c r="ES789" s="84"/>
      <c r="EW789" s="84"/>
    </row>
    <row r="790" customFormat="false" ht="12.75" hidden="false" customHeight="false" outlineLevel="0" collapsed="false">
      <c r="A790" s="37"/>
      <c r="E790" s="83"/>
      <c r="J790" s="84"/>
      <c r="N790" s="84"/>
      <c r="R790" s="84"/>
      <c r="V790" s="84"/>
      <c r="Z790" s="84"/>
      <c r="AD790" s="84"/>
      <c r="AH790" s="84"/>
      <c r="AL790" s="84"/>
      <c r="AP790" s="84"/>
      <c r="AT790" s="84"/>
      <c r="AX790" s="84"/>
      <c r="BB790" s="85"/>
      <c r="BC790" s="84"/>
      <c r="BD790" s="84"/>
      <c r="BF790" s="84"/>
      <c r="BL790" s="84"/>
      <c r="BP790" s="86"/>
      <c r="BV790" s="84"/>
      <c r="CA790" s="84"/>
      <c r="CF790" s="84"/>
      <c r="CK790" s="84"/>
      <c r="CP790" s="84"/>
      <c r="CS790" s="86"/>
      <c r="CT790" s="84"/>
      <c r="CW790" s="86"/>
      <c r="CX790" s="84"/>
      <c r="DA790" s="86"/>
      <c r="DB790" s="84"/>
      <c r="DE790" s="86"/>
      <c r="DF790" s="84"/>
      <c r="DI790" s="86"/>
      <c r="DJ790" s="84"/>
      <c r="DM790" s="86"/>
      <c r="DN790" s="84"/>
      <c r="DQ790" s="86"/>
      <c r="DR790" s="85"/>
      <c r="DS790" s="85"/>
      <c r="DT790" s="84"/>
      <c r="DV790" s="84"/>
      <c r="DW790" s="157"/>
      <c r="EB790" s="84"/>
      <c r="EG790" s="84"/>
      <c r="EK790" s="84"/>
      <c r="EO790" s="84"/>
      <c r="ES790" s="84"/>
      <c r="EW790" s="84"/>
    </row>
    <row r="791" customFormat="false" ht="12.75" hidden="false" customHeight="false" outlineLevel="0" collapsed="false">
      <c r="A791" s="37"/>
      <c r="E791" s="83"/>
      <c r="J791" s="84"/>
      <c r="N791" s="84"/>
      <c r="R791" s="84"/>
      <c r="V791" s="84"/>
      <c r="Z791" s="84"/>
      <c r="AD791" s="84"/>
      <c r="AH791" s="84"/>
      <c r="AL791" s="84"/>
      <c r="AP791" s="84"/>
      <c r="AT791" s="84"/>
      <c r="AX791" s="84"/>
      <c r="BB791" s="85"/>
      <c r="BC791" s="84"/>
      <c r="BD791" s="84"/>
      <c r="BF791" s="84"/>
      <c r="BL791" s="84"/>
      <c r="BP791" s="86"/>
      <c r="BV791" s="84"/>
      <c r="CA791" s="84"/>
      <c r="CF791" s="84"/>
      <c r="CK791" s="84"/>
      <c r="CP791" s="84"/>
      <c r="CS791" s="86"/>
      <c r="CT791" s="84"/>
      <c r="CW791" s="86"/>
      <c r="CX791" s="84"/>
      <c r="DA791" s="86"/>
      <c r="DB791" s="84"/>
      <c r="DE791" s="86"/>
      <c r="DF791" s="84"/>
      <c r="DI791" s="86"/>
      <c r="DJ791" s="84"/>
      <c r="DM791" s="86"/>
      <c r="DN791" s="84"/>
      <c r="DQ791" s="86"/>
      <c r="DR791" s="85"/>
      <c r="DS791" s="85"/>
      <c r="DT791" s="84"/>
      <c r="DV791" s="84"/>
      <c r="DW791" s="157"/>
      <c r="EB791" s="84"/>
      <c r="EG791" s="84"/>
      <c r="EK791" s="84"/>
      <c r="EO791" s="84"/>
      <c r="ES791" s="84"/>
      <c r="EW791" s="84"/>
    </row>
    <row r="792" customFormat="false" ht="12.75" hidden="false" customHeight="false" outlineLevel="0" collapsed="false">
      <c r="A792" s="37"/>
      <c r="E792" s="83"/>
      <c r="J792" s="84"/>
      <c r="N792" s="84"/>
      <c r="R792" s="84"/>
      <c r="V792" s="84"/>
      <c r="Z792" s="84"/>
      <c r="AD792" s="84"/>
      <c r="AH792" s="84"/>
      <c r="AL792" s="84"/>
      <c r="AP792" s="84"/>
      <c r="AT792" s="84"/>
      <c r="AX792" s="84"/>
      <c r="BB792" s="85"/>
      <c r="BC792" s="84"/>
      <c r="BD792" s="84"/>
      <c r="BF792" s="84"/>
      <c r="BL792" s="84"/>
      <c r="BP792" s="86"/>
      <c r="BV792" s="84"/>
      <c r="CA792" s="84"/>
      <c r="CF792" s="84"/>
      <c r="CK792" s="84"/>
      <c r="CP792" s="84"/>
      <c r="CS792" s="86"/>
      <c r="CT792" s="84"/>
      <c r="CW792" s="86"/>
      <c r="CX792" s="84"/>
      <c r="DA792" s="86"/>
      <c r="DB792" s="84"/>
      <c r="DE792" s="86"/>
      <c r="DF792" s="84"/>
      <c r="DI792" s="86"/>
      <c r="DJ792" s="84"/>
      <c r="DM792" s="86"/>
      <c r="DN792" s="84"/>
      <c r="DQ792" s="86"/>
      <c r="DR792" s="85"/>
      <c r="DS792" s="85"/>
      <c r="DT792" s="84"/>
      <c r="DV792" s="84"/>
      <c r="DW792" s="157"/>
      <c r="EB792" s="84"/>
      <c r="EG792" s="84"/>
      <c r="EK792" s="84"/>
      <c r="EO792" s="84"/>
      <c r="ES792" s="84"/>
      <c r="EW792" s="84"/>
    </row>
    <row r="793" customFormat="false" ht="12.75" hidden="false" customHeight="false" outlineLevel="0" collapsed="false">
      <c r="A793" s="37"/>
      <c r="E793" s="83"/>
      <c r="J793" s="84"/>
      <c r="N793" s="84"/>
      <c r="R793" s="84"/>
      <c r="V793" s="84"/>
      <c r="Z793" s="84"/>
      <c r="AD793" s="84"/>
      <c r="AH793" s="84"/>
      <c r="AL793" s="84"/>
      <c r="AP793" s="84"/>
      <c r="AT793" s="84"/>
      <c r="AX793" s="84"/>
      <c r="BB793" s="85"/>
      <c r="BC793" s="84"/>
      <c r="BD793" s="84"/>
      <c r="BF793" s="84"/>
      <c r="BL793" s="84"/>
      <c r="BP793" s="86"/>
      <c r="BV793" s="84"/>
      <c r="CA793" s="84"/>
      <c r="CF793" s="84"/>
      <c r="CK793" s="84"/>
      <c r="CP793" s="84"/>
      <c r="CS793" s="86"/>
      <c r="CT793" s="84"/>
      <c r="CW793" s="86"/>
      <c r="CX793" s="84"/>
      <c r="DA793" s="86"/>
      <c r="DB793" s="84"/>
      <c r="DE793" s="86"/>
      <c r="DF793" s="84"/>
      <c r="DI793" s="86"/>
      <c r="DJ793" s="84"/>
      <c r="DM793" s="86"/>
      <c r="DN793" s="84"/>
      <c r="DQ793" s="86"/>
      <c r="DR793" s="85"/>
      <c r="DS793" s="85"/>
      <c r="DT793" s="84"/>
      <c r="DV793" s="84"/>
      <c r="DW793" s="157"/>
      <c r="EB793" s="84"/>
      <c r="EG793" s="84"/>
      <c r="EK793" s="84"/>
      <c r="EO793" s="84"/>
      <c r="ES793" s="84"/>
      <c r="EW793" s="84"/>
    </row>
    <row r="794" customFormat="false" ht="12.75" hidden="false" customHeight="false" outlineLevel="0" collapsed="false">
      <c r="A794" s="37"/>
      <c r="E794" s="83"/>
      <c r="J794" s="84"/>
      <c r="N794" s="84"/>
      <c r="R794" s="84"/>
      <c r="V794" s="84"/>
      <c r="Z794" s="84"/>
      <c r="AD794" s="84"/>
      <c r="AH794" s="84"/>
      <c r="AL794" s="84"/>
      <c r="AP794" s="84"/>
      <c r="AT794" s="84"/>
      <c r="AX794" s="84"/>
      <c r="BB794" s="85"/>
      <c r="BC794" s="84"/>
      <c r="BD794" s="84"/>
      <c r="BF794" s="84"/>
      <c r="BL794" s="84"/>
      <c r="BP794" s="86"/>
      <c r="BV794" s="84"/>
      <c r="CA794" s="84"/>
      <c r="CF794" s="84"/>
      <c r="CK794" s="84"/>
      <c r="CP794" s="84"/>
      <c r="CS794" s="86"/>
      <c r="CT794" s="84"/>
      <c r="CW794" s="86"/>
      <c r="CX794" s="84"/>
      <c r="DA794" s="86"/>
      <c r="DB794" s="84"/>
      <c r="DE794" s="86"/>
      <c r="DF794" s="84"/>
      <c r="DI794" s="86"/>
      <c r="DJ794" s="84"/>
      <c r="DM794" s="86"/>
      <c r="DN794" s="84"/>
      <c r="DQ794" s="86"/>
      <c r="DR794" s="85"/>
      <c r="DS794" s="85"/>
      <c r="DT794" s="84"/>
      <c r="DV794" s="84"/>
      <c r="DW794" s="157"/>
      <c r="EB794" s="84"/>
      <c r="EG794" s="84"/>
      <c r="EK794" s="84"/>
      <c r="EO794" s="84"/>
      <c r="ES794" s="84"/>
      <c r="EW794" s="84"/>
    </row>
    <row r="795" customFormat="false" ht="12.75" hidden="false" customHeight="false" outlineLevel="0" collapsed="false">
      <c r="A795" s="37"/>
      <c r="E795" s="83"/>
      <c r="J795" s="84"/>
      <c r="N795" s="84"/>
      <c r="R795" s="84"/>
      <c r="V795" s="84"/>
      <c r="Z795" s="84"/>
      <c r="AD795" s="84"/>
      <c r="AH795" s="84"/>
      <c r="AL795" s="84"/>
      <c r="AP795" s="84"/>
      <c r="AT795" s="84"/>
      <c r="AX795" s="84"/>
      <c r="BB795" s="85"/>
      <c r="BC795" s="84"/>
      <c r="BD795" s="84"/>
      <c r="BF795" s="84"/>
      <c r="BL795" s="84"/>
      <c r="BP795" s="86"/>
      <c r="BV795" s="84"/>
      <c r="CA795" s="84"/>
      <c r="CF795" s="84"/>
      <c r="CK795" s="84"/>
      <c r="CP795" s="84"/>
      <c r="CS795" s="86"/>
      <c r="CT795" s="84"/>
      <c r="CW795" s="86"/>
      <c r="CX795" s="84"/>
      <c r="DA795" s="86"/>
      <c r="DB795" s="84"/>
      <c r="DE795" s="86"/>
      <c r="DF795" s="84"/>
      <c r="DI795" s="86"/>
      <c r="DJ795" s="84"/>
      <c r="DM795" s="86"/>
      <c r="DN795" s="84"/>
      <c r="DQ795" s="86"/>
      <c r="DR795" s="85"/>
      <c r="DS795" s="85"/>
      <c r="DT795" s="84"/>
      <c r="DV795" s="84"/>
      <c r="DW795" s="157"/>
      <c r="EB795" s="84"/>
      <c r="EG795" s="84"/>
      <c r="EK795" s="84"/>
      <c r="EO795" s="84"/>
      <c r="ES795" s="84"/>
      <c r="EW795" s="84"/>
    </row>
    <row r="796" customFormat="false" ht="12.75" hidden="false" customHeight="false" outlineLevel="0" collapsed="false">
      <c r="A796" s="37"/>
      <c r="E796" s="83"/>
      <c r="J796" s="84"/>
      <c r="N796" s="84"/>
      <c r="R796" s="84"/>
      <c r="V796" s="84"/>
      <c r="Z796" s="84"/>
      <c r="AD796" s="84"/>
      <c r="AH796" s="84"/>
      <c r="AL796" s="84"/>
      <c r="AP796" s="84"/>
      <c r="AT796" s="84"/>
      <c r="AX796" s="84"/>
      <c r="BB796" s="85"/>
      <c r="BC796" s="84"/>
      <c r="BD796" s="84"/>
      <c r="BF796" s="84"/>
      <c r="BL796" s="84"/>
      <c r="BP796" s="86"/>
      <c r="BV796" s="84"/>
      <c r="CA796" s="84"/>
      <c r="CF796" s="84"/>
      <c r="CK796" s="84"/>
      <c r="CP796" s="84"/>
      <c r="CS796" s="86"/>
      <c r="CT796" s="84"/>
      <c r="CW796" s="86"/>
      <c r="CX796" s="84"/>
      <c r="DA796" s="86"/>
      <c r="DB796" s="84"/>
      <c r="DE796" s="86"/>
      <c r="DF796" s="84"/>
      <c r="DI796" s="86"/>
      <c r="DJ796" s="84"/>
      <c r="DM796" s="86"/>
      <c r="DN796" s="84"/>
      <c r="DQ796" s="86"/>
      <c r="DR796" s="85"/>
      <c r="DS796" s="85"/>
      <c r="DT796" s="84"/>
      <c r="DV796" s="84"/>
      <c r="DW796" s="157"/>
      <c r="EB796" s="84"/>
      <c r="EG796" s="84"/>
      <c r="EK796" s="84"/>
      <c r="EO796" s="84"/>
      <c r="ES796" s="84"/>
      <c r="EW796" s="84"/>
    </row>
    <row r="797" customFormat="false" ht="12.75" hidden="false" customHeight="false" outlineLevel="0" collapsed="false">
      <c r="A797" s="37"/>
      <c r="E797" s="83"/>
      <c r="J797" s="84"/>
      <c r="N797" s="84"/>
      <c r="R797" s="84"/>
      <c r="V797" s="84"/>
      <c r="Z797" s="84"/>
      <c r="AD797" s="84"/>
      <c r="AH797" s="84"/>
      <c r="AL797" s="84"/>
      <c r="AP797" s="84"/>
      <c r="AT797" s="84"/>
      <c r="AX797" s="84"/>
      <c r="BB797" s="85"/>
      <c r="BC797" s="84"/>
      <c r="BD797" s="84"/>
      <c r="BF797" s="84"/>
      <c r="BL797" s="84"/>
      <c r="BP797" s="86"/>
      <c r="BV797" s="84"/>
      <c r="CA797" s="84"/>
      <c r="CF797" s="84"/>
      <c r="CK797" s="84"/>
      <c r="CP797" s="84"/>
      <c r="CS797" s="86"/>
      <c r="CT797" s="84"/>
      <c r="CW797" s="86"/>
      <c r="CX797" s="84"/>
      <c r="DA797" s="86"/>
      <c r="DB797" s="84"/>
      <c r="DE797" s="86"/>
      <c r="DF797" s="84"/>
      <c r="DI797" s="86"/>
      <c r="DJ797" s="84"/>
      <c r="DM797" s="86"/>
      <c r="DN797" s="84"/>
      <c r="DQ797" s="86"/>
      <c r="DR797" s="85"/>
      <c r="DS797" s="85"/>
      <c r="DT797" s="84"/>
      <c r="DV797" s="84"/>
      <c r="DW797" s="157"/>
      <c r="EB797" s="84"/>
      <c r="EG797" s="84"/>
      <c r="EK797" s="84"/>
      <c r="EO797" s="84"/>
      <c r="ES797" s="84"/>
      <c r="EW797" s="84"/>
    </row>
    <row r="798" customFormat="false" ht="12.75" hidden="false" customHeight="false" outlineLevel="0" collapsed="false">
      <c r="A798" s="37"/>
      <c r="E798" s="83"/>
      <c r="J798" s="84"/>
      <c r="N798" s="84"/>
      <c r="R798" s="84"/>
      <c r="V798" s="84"/>
      <c r="Z798" s="84"/>
      <c r="AD798" s="84"/>
      <c r="AH798" s="84"/>
      <c r="AL798" s="84"/>
      <c r="AP798" s="84"/>
      <c r="AT798" s="84"/>
      <c r="AX798" s="84"/>
      <c r="BB798" s="85"/>
      <c r="BC798" s="84"/>
      <c r="BD798" s="84"/>
      <c r="BF798" s="84"/>
      <c r="BL798" s="84"/>
      <c r="BP798" s="86"/>
      <c r="BV798" s="84"/>
      <c r="CA798" s="84"/>
      <c r="CF798" s="84"/>
      <c r="CK798" s="84"/>
      <c r="CP798" s="84"/>
      <c r="CS798" s="86"/>
      <c r="CT798" s="84"/>
      <c r="CW798" s="86"/>
      <c r="CX798" s="84"/>
      <c r="DA798" s="86"/>
      <c r="DB798" s="84"/>
      <c r="DE798" s="86"/>
      <c r="DF798" s="84"/>
      <c r="DI798" s="86"/>
      <c r="DJ798" s="84"/>
      <c r="DM798" s="86"/>
      <c r="DN798" s="84"/>
      <c r="DQ798" s="86"/>
      <c r="DR798" s="85"/>
      <c r="DS798" s="85"/>
      <c r="DT798" s="84"/>
      <c r="DV798" s="84"/>
      <c r="DW798" s="157"/>
      <c r="EB798" s="84"/>
      <c r="EG798" s="84"/>
      <c r="EK798" s="84"/>
      <c r="EO798" s="84"/>
      <c r="ES798" s="84"/>
      <c r="EW798" s="84"/>
    </row>
    <row r="799" customFormat="false" ht="12.75" hidden="false" customHeight="false" outlineLevel="0" collapsed="false">
      <c r="A799" s="37"/>
      <c r="E799" s="83"/>
      <c r="J799" s="84"/>
      <c r="N799" s="84"/>
      <c r="R799" s="84"/>
      <c r="V799" s="84"/>
      <c r="Z799" s="84"/>
      <c r="AD799" s="84"/>
      <c r="AH799" s="84"/>
      <c r="AL799" s="84"/>
      <c r="AP799" s="84"/>
      <c r="AT799" s="84"/>
      <c r="AX799" s="84"/>
      <c r="BB799" s="85"/>
      <c r="BC799" s="84"/>
      <c r="BD799" s="84"/>
      <c r="BF799" s="84"/>
      <c r="BL799" s="84"/>
      <c r="BP799" s="86"/>
      <c r="BV799" s="84"/>
      <c r="CA799" s="84"/>
      <c r="CF799" s="84"/>
      <c r="CK799" s="84"/>
      <c r="CP799" s="84"/>
      <c r="CS799" s="86"/>
      <c r="CT799" s="84"/>
      <c r="CW799" s="86"/>
      <c r="CX799" s="84"/>
      <c r="DA799" s="86"/>
      <c r="DB799" s="84"/>
      <c r="DE799" s="86"/>
      <c r="DF799" s="84"/>
      <c r="DI799" s="86"/>
      <c r="DJ799" s="84"/>
      <c r="DM799" s="86"/>
      <c r="DN799" s="84"/>
      <c r="DQ799" s="86"/>
      <c r="DR799" s="85"/>
      <c r="DS799" s="85"/>
      <c r="DT799" s="84"/>
      <c r="DV799" s="84"/>
      <c r="DW799" s="157"/>
      <c r="EB799" s="84"/>
      <c r="EG799" s="84"/>
      <c r="EK799" s="84"/>
      <c r="EO799" s="84"/>
      <c r="ES799" s="84"/>
      <c r="EW799" s="84"/>
    </row>
    <row r="800" customFormat="false" ht="12.75" hidden="false" customHeight="false" outlineLevel="0" collapsed="false">
      <c r="A800" s="37"/>
      <c r="E800" s="83"/>
      <c r="J800" s="84"/>
      <c r="N800" s="84"/>
      <c r="R800" s="84"/>
      <c r="V800" s="84"/>
      <c r="Z800" s="84"/>
      <c r="AD800" s="84"/>
      <c r="AH800" s="84"/>
      <c r="AL800" s="84"/>
      <c r="AP800" s="84"/>
      <c r="AT800" s="84"/>
      <c r="AX800" s="84"/>
      <c r="BB800" s="85"/>
      <c r="BC800" s="84"/>
      <c r="BD800" s="84"/>
      <c r="BF800" s="84"/>
      <c r="BL800" s="84"/>
      <c r="BP800" s="86"/>
      <c r="BV800" s="84"/>
      <c r="CA800" s="84"/>
      <c r="CF800" s="84"/>
      <c r="CK800" s="84"/>
      <c r="CP800" s="84"/>
      <c r="CS800" s="86"/>
      <c r="CT800" s="84"/>
      <c r="CW800" s="86"/>
      <c r="CX800" s="84"/>
      <c r="DA800" s="86"/>
      <c r="DB800" s="84"/>
      <c r="DE800" s="86"/>
      <c r="DF800" s="84"/>
      <c r="DI800" s="86"/>
      <c r="DJ800" s="84"/>
      <c r="DM800" s="86"/>
      <c r="DN800" s="84"/>
      <c r="DQ800" s="86"/>
      <c r="DR800" s="85"/>
      <c r="DS800" s="85"/>
      <c r="DT800" s="84"/>
      <c r="DV800" s="84"/>
      <c r="DW800" s="157"/>
      <c r="EB800" s="84"/>
      <c r="EG800" s="84"/>
      <c r="EK800" s="84"/>
      <c r="EO800" s="84"/>
      <c r="ES800" s="84"/>
      <c r="EW800" s="84"/>
    </row>
    <row r="801" customFormat="false" ht="12.75" hidden="false" customHeight="false" outlineLevel="0" collapsed="false">
      <c r="A801" s="37"/>
      <c r="E801" s="83"/>
      <c r="J801" s="84"/>
      <c r="N801" s="84"/>
      <c r="R801" s="84"/>
      <c r="V801" s="84"/>
      <c r="Z801" s="84"/>
      <c r="AD801" s="84"/>
      <c r="AH801" s="84"/>
      <c r="AL801" s="84"/>
      <c r="AP801" s="84"/>
      <c r="AT801" s="84"/>
      <c r="AX801" s="84"/>
      <c r="BB801" s="85"/>
      <c r="BC801" s="84"/>
      <c r="BD801" s="84"/>
      <c r="BF801" s="84"/>
      <c r="BL801" s="84"/>
      <c r="BP801" s="86"/>
      <c r="BV801" s="84"/>
      <c r="CA801" s="84"/>
      <c r="CF801" s="84"/>
      <c r="CK801" s="84"/>
      <c r="CP801" s="84"/>
      <c r="CS801" s="86"/>
      <c r="CT801" s="84"/>
      <c r="CW801" s="86"/>
      <c r="CX801" s="84"/>
      <c r="DA801" s="86"/>
      <c r="DB801" s="84"/>
      <c r="DE801" s="86"/>
      <c r="DF801" s="84"/>
      <c r="DI801" s="86"/>
      <c r="DJ801" s="84"/>
      <c r="DM801" s="86"/>
      <c r="DN801" s="84"/>
      <c r="DQ801" s="86"/>
      <c r="DR801" s="85"/>
      <c r="DS801" s="85"/>
      <c r="DT801" s="84"/>
      <c r="DV801" s="84"/>
      <c r="DW801" s="157"/>
      <c r="EB801" s="84"/>
      <c r="EG801" s="84"/>
      <c r="EK801" s="84"/>
      <c r="EO801" s="84"/>
      <c r="ES801" s="84"/>
      <c r="EW801" s="84"/>
    </row>
    <row r="802" customFormat="false" ht="12.75" hidden="false" customHeight="false" outlineLevel="0" collapsed="false">
      <c r="A802" s="37"/>
      <c r="E802" s="83"/>
      <c r="J802" s="84"/>
      <c r="N802" s="84"/>
      <c r="R802" s="84"/>
      <c r="V802" s="84"/>
      <c r="Z802" s="84"/>
      <c r="AD802" s="84"/>
      <c r="AH802" s="84"/>
      <c r="AL802" s="84"/>
      <c r="AP802" s="84"/>
      <c r="AT802" s="84"/>
      <c r="AX802" s="84"/>
      <c r="BB802" s="85"/>
      <c r="BC802" s="84"/>
      <c r="BD802" s="84"/>
      <c r="BF802" s="84"/>
      <c r="BL802" s="84"/>
      <c r="BP802" s="86"/>
      <c r="BV802" s="84"/>
      <c r="CA802" s="84"/>
      <c r="CF802" s="84"/>
      <c r="CK802" s="84"/>
      <c r="CP802" s="84"/>
      <c r="CS802" s="86"/>
      <c r="CT802" s="84"/>
      <c r="CW802" s="86"/>
      <c r="CX802" s="84"/>
      <c r="DA802" s="86"/>
      <c r="DB802" s="84"/>
      <c r="DE802" s="86"/>
      <c r="DF802" s="84"/>
      <c r="DI802" s="86"/>
      <c r="DJ802" s="84"/>
      <c r="DM802" s="86"/>
      <c r="DN802" s="84"/>
      <c r="DQ802" s="86"/>
      <c r="DR802" s="85"/>
      <c r="DS802" s="85"/>
      <c r="DT802" s="84"/>
      <c r="DV802" s="84"/>
      <c r="DW802" s="157"/>
      <c r="EB802" s="84"/>
      <c r="EG802" s="84"/>
      <c r="EK802" s="84"/>
      <c r="EO802" s="84"/>
      <c r="ES802" s="84"/>
      <c r="EW802" s="84"/>
    </row>
    <row r="803" customFormat="false" ht="12.75" hidden="false" customHeight="false" outlineLevel="0" collapsed="false">
      <c r="A803" s="37"/>
      <c r="E803" s="83"/>
      <c r="J803" s="84"/>
      <c r="N803" s="84"/>
      <c r="R803" s="84"/>
      <c r="V803" s="84"/>
      <c r="Z803" s="84"/>
      <c r="AD803" s="84"/>
      <c r="AH803" s="84"/>
      <c r="AL803" s="84"/>
      <c r="AP803" s="84"/>
      <c r="AT803" s="84"/>
      <c r="AX803" s="84"/>
      <c r="BB803" s="85"/>
      <c r="BC803" s="84"/>
      <c r="BD803" s="84"/>
      <c r="BF803" s="84"/>
      <c r="BL803" s="84"/>
      <c r="BP803" s="86"/>
      <c r="BV803" s="84"/>
      <c r="CA803" s="84"/>
      <c r="CF803" s="84"/>
      <c r="CK803" s="84"/>
      <c r="CP803" s="84"/>
      <c r="CS803" s="86"/>
      <c r="CT803" s="84"/>
      <c r="CW803" s="86"/>
      <c r="CX803" s="84"/>
      <c r="DA803" s="86"/>
      <c r="DB803" s="84"/>
      <c r="DE803" s="86"/>
      <c r="DF803" s="84"/>
      <c r="DI803" s="86"/>
      <c r="DJ803" s="84"/>
      <c r="DM803" s="86"/>
      <c r="DN803" s="84"/>
      <c r="DQ803" s="86"/>
      <c r="DR803" s="85"/>
      <c r="DS803" s="85"/>
      <c r="DT803" s="84"/>
      <c r="DV803" s="84"/>
      <c r="DW803" s="157"/>
      <c r="EB803" s="84"/>
      <c r="EG803" s="84"/>
      <c r="EK803" s="84"/>
      <c r="EO803" s="84"/>
      <c r="ES803" s="84"/>
      <c r="EW803" s="84"/>
    </row>
    <row r="804" customFormat="false" ht="12.75" hidden="false" customHeight="false" outlineLevel="0" collapsed="false">
      <c r="A804" s="37"/>
      <c r="E804" s="83"/>
      <c r="J804" s="84"/>
      <c r="N804" s="84"/>
      <c r="R804" s="84"/>
      <c r="V804" s="84"/>
      <c r="Z804" s="84"/>
      <c r="AD804" s="84"/>
      <c r="AH804" s="84"/>
      <c r="AL804" s="84"/>
      <c r="AP804" s="84"/>
      <c r="AT804" s="84"/>
      <c r="AX804" s="84"/>
      <c r="BB804" s="85"/>
      <c r="BC804" s="84"/>
      <c r="BD804" s="84"/>
      <c r="BF804" s="84"/>
      <c r="BL804" s="84"/>
      <c r="BP804" s="86"/>
      <c r="BV804" s="84"/>
      <c r="CA804" s="84"/>
      <c r="CF804" s="84"/>
      <c r="CK804" s="84"/>
      <c r="CP804" s="84"/>
      <c r="CS804" s="86"/>
      <c r="CT804" s="84"/>
      <c r="CW804" s="86"/>
      <c r="CX804" s="84"/>
      <c r="DA804" s="86"/>
      <c r="DB804" s="84"/>
      <c r="DE804" s="86"/>
      <c r="DF804" s="84"/>
      <c r="DI804" s="86"/>
      <c r="DJ804" s="84"/>
      <c r="DM804" s="86"/>
      <c r="DN804" s="84"/>
      <c r="DQ804" s="86"/>
      <c r="DR804" s="85"/>
      <c r="DS804" s="85"/>
      <c r="DT804" s="84"/>
      <c r="DV804" s="84"/>
      <c r="DW804" s="157"/>
      <c r="EB804" s="84"/>
      <c r="EG804" s="84"/>
      <c r="EK804" s="84"/>
      <c r="EO804" s="84"/>
      <c r="ES804" s="84"/>
      <c r="EW804" s="84"/>
    </row>
    <row r="805" customFormat="false" ht="12.75" hidden="false" customHeight="false" outlineLevel="0" collapsed="false">
      <c r="A805" s="37"/>
      <c r="E805" s="83"/>
      <c r="J805" s="84"/>
      <c r="N805" s="84"/>
      <c r="R805" s="84"/>
      <c r="V805" s="84"/>
      <c r="Z805" s="84"/>
      <c r="AD805" s="84"/>
      <c r="AH805" s="84"/>
      <c r="AL805" s="84"/>
      <c r="AP805" s="84"/>
      <c r="AT805" s="84"/>
      <c r="AX805" s="84"/>
      <c r="BB805" s="85"/>
      <c r="BC805" s="84"/>
      <c r="BD805" s="84"/>
      <c r="BF805" s="84"/>
      <c r="BL805" s="84"/>
      <c r="BP805" s="86"/>
      <c r="BV805" s="84"/>
      <c r="CA805" s="84"/>
      <c r="CF805" s="84"/>
      <c r="CK805" s="84"/>
      <c r="CP805" s="84"/>
      <c r="CS805" s="86"/>
      <c r="CT805" s="84"/>
      <c r="CW805" s="86"/>
      <c r="CX805" s="84"/>
      <c r="DA805" s="86"/>
      <c r="DB805" s="84"/>
      <c r="DE805" s="86"/>
      <c r="DF805" s="84"/>
      <c r="DI805" s="86"/>
      <c r="DJ805" s="84"/>
      <c r="DM805" s="86"/>
      <c r="DN805" s="84"/>
      <c r="DQ805" s="86"/>
      <c r="DR805" s="85"/>
      <c r="DS805" s="85"/>
      <c r="DT805" s="84"/>
      <c r="DV805" s="84"/>
      <c r="DW805" s="157"/>
      <c r="EB805" s="84"/>
      <c r="EG805" s="84"/>
      <c r="EK805" s="84"/>
      <c r="EO805" s="84"/>
      <c r="ES805" s="84"/>
      <c r="EW805" s="84"/>
    </row>
    <row r="806" customFormat="false" ht="12.75" hidden="false" customHeight="false" outlineLevel="0" collapsed="false">
      <c r="A806" s="37"/>
      <c r="E806" s="83"/>
      <c r="J806" s="84"/>
      <c r="N806" s="84"/>
      <c r="R806" s="84"/>
      <c r="V806" s="84"/>
      <c r="Z806" s="84"/>
      <c r="AD806" s="84"/>
      <c r="AH806" s="84"/>
      <c r="AL806" s="84"/>
      <c r="AP806" s="84"/>
      <c r="AT806" s="84"/>
      <c r="AX806" s="84"/>
      <c r="BB806" s="85"/>
      <c r="BC806" s="84"/>
      <c r="BD806" s="84"/>
      <c r="BF806" s="84"/>
      <c r="BL806" s="84"/>
      <c r="BP806" s="86"/>
      <c r="BV806" s="84"/>
      <c r="CA806" s="84"/>
      <c r="CF806" s="84"/>
      <c r="CK806" s="84"/>
      <c r="CP806" s="84"/>
      <c r="CS806" s="86"/>
      <c r="CT806" s="84"/>
      <c r="CW806" s="86"/>
      <c r="CX806" s="84"/>
      <c r="DA806" s="86"/>
      <c r="DB806" s="84"/>
      <c r="DE806" s="86"/>
      <c r="DF806" s="84"/>
      <c r="DI806" s="86"/>
      <c r="DJ806" s="84"/>
      <c r="DM806" s="86"/>
      <c r="DN806" s="84"/>
      <c r="DQ806" s="86"/>
      <c r="DR806" s="85"/>
      <c r="DS806" s="85"/>
      <c r="DT806" s="84"/>
      <c r="DV806" s="84"/>
      <c r="DW806" s="157"/>
      <c r="EB806" s="84"/>
      <c r="EG806" s="84"/>
      <c r="EK806" s="84"/>
      <c r="EO806" s="84"/>
      <c r="ES806" s="84"/>
      <c r="EW806" s="84"/>
    </row>
    <row r="807" customFormat="false" ht="12.75" hidden="false" customHeight="false" outlineLevel="0" collapsed="false">
      <c r="A807" s="37"/>
      <c r="E807" s="83"/>
      <c r="J807" s="84"/>
      <c r="N807" s="84"/>
      <c r="R807" s="84"/>
      <c r="V807" s="84"/>
      <c r="Z807" s="84"/>
      <c r="AD807" s="84"/>
      <c r="AH807" s="84"/>
      <c r="AL807" s="84"/>
      <c r="AP807" s="84"/>
      <c r="AT807" s="84"/>
      <c r="AX807" s="84"/>
      <c r="BB807" s="85"/>
      <c r="BC807" s="84"/>
      <c r="BD807" s="84"/>
      <c r="BF807" s="84"/>
      <c r="BL807" s="84"/>
      <c r="BP807" s="86"/>
      <c r="BV807" s="84"/>
      <c r="CA807" s="84"/>
      <c r="CF807" s="84"/>
      <c r="CK807" s="84"/>
      <c r="CP807" s="84"/>
      <c r="CS807" s="86"/>
      <c r="CT807" s="84"/>
      <c r="CW807" s="86"/>
      <c r="CX807" s="84"/>
      <c r="DA807" s="86"/>
      <c r="DB807" s="84"/>
      <c r="DE807" s="86"/>
      <c r="DF807" s="84"/>
      <c r="DI807" s="86"/>
      <c r="DJ807" s="84"/>
      <c r="DM807" s="86"/>
      <c r="DN807" s="84"/>
      <c r="DQ807" s="86"/>
      <c r="DR807" s="85"/>
      <c r="DS807" s="85"/>
      <c r="DT807" s="84"/>
      <c r="DV807" s="84"/>
      <c r="DW807" s="157"/>
      <c r="EB807" s="84"/>
      <c r="EG807" s="84"/>
      <c r="EK807" s="84"/>
      <c r="EO807" s="84"/>
      <c r="ES807" s="84"/>
      <c r="EW807" s="84"/>
    </row>
    <row r="808" customFormat="false" ht="12.75" hidden="false" customHeight="false" outlineLevel="0" collapsed="false">
      <c r="A808" s="37"/>
      <c r="E808" s="83"/>
      <c r="J808" s="84"/>
      <c r="N808" s="84"/>
      <c r="R808" s="84"/>
      <c r="V808" s="84"/>
      <c r="Z808" s="84"/>
      <c r="AD808" s="84"/>
      <c r="AH808" s="84"/>
      <c r="AL808" s="84"/>
      <c r="AP808" s="84"/>
      <c r="AT808" s="84"/>
      <c r="AX808" s="84"/>
      <c r="BB808" s="85"/>
      <c r="BC808" s="84"/>
      <c r="BD808" s="84"/>
      <c r="BF808" s="84"/>
      <c r="BL808" s="84"/>
      <c r="BP808" s="86"/>
      <c r="BV808" s="84"/>
      <c r="CA808" s="84"/>
      <c r="CF808" s="84"/>
      <c r="CK808" s="84"/>
      <c r="CP808" s="84"/>
      <c r="CS808" s="86"/>
      <c r="CT808" s="84"/>
      <c r="CW808" s="86"/>
      <c r="CX808" s="84"/>
      <c r="DA808" s="86"/>
      <c r="DB808" s="84"/>
      <c r="DE808" s="86"/>
      <c r="DF808" s="84"/>
      <c r="DI808" s="86"/>
      <c r="DJ808" s="84"/>
      <c r="DM808" s="86"/>
      <c r="DN808" s="84"/>
      <c r="DQ808" s="86"/>
      <c r="DR808" s="85"/>
      <c r="DS808" s="85"/>
      <c r="DT808" s="84"/>
      <c r="DV808" s="84"/>
      <c r="DW808" s="157"/>
      <c r="EB808" s="84"/>
      <c r="EG808" s="84"/>
      <c r="EK808" s="84"/>
      <c r="EO808" s="84"/>
      <c r="ES808" s="84"/>
      <c r="EW808" s="84"/>
    </row>
    <row r="809" customFormat="false" ht="12.75" hidden="false" customHeight="false" outlineLevel="0" collapsed="false">
      <c r="A809" s="37"/>
      <c r="E809" s="83"/>
      <c r="J809" s="84"/>
      <c r="N809" s="84"/>
      <c r="R809" s="84"/>
      <c r="V809" s="84"/>
      <c r="Z809" s="84"/>
      <c r="AD809" s="84"/>
      <c r="AH809" s="84"/>
      <c r="AL809" s="84"/>
      <c r="AP809" s="84"/>
      <c r="AT809" s="84"/>
      <c r="AX809" s="84"/>
      <c r="BB809" s="85"/>
      <c r="BC809" s="84"/>
      <c r="BD809" s="84"/>
      <c r="BF809" s="84"/>
      <c r="BL809" s="84"/>
      <c r="BP809" s="86"/>
      <c r="BV809" s="84"/>
      <c r="CA809" s="84"/>
      <c r="CF809" s="84"/>
      <c r="CK809" s="84"/>
      <c r="CP809" s="84"/>
      <c r="CS809" s="86"/>
      <c r="CT809" s="84"/>
      <c r="CW809" s="86"/>
      <c r="CX809" s="84"/>
      <c r="DA809" s="86"/>
      <c r="DB809" s="84"/>
      <c r="DE809" s="86"/>
      <c r="DF809" s="84"/>
      <c r="DI809" s="86"/>
      <c r="DJ809" s="84"/>
      <c r="DM809" s="86"/>
      <c r="DN809" s="84"/>
      <c r="DQ809" s="86"/>
      <c r="DR809" s="85"/>
      <c r="DS809" s="85"/>
      <c r="DT809" s="84"/>
      <c r="DV809" s="84"/>
      <c r="DW809" s="157"/>
      <c r="EB809" s="84"/>
      <c r="EG809" s="84"/>
      <c r="EK809" s="84"/>
      <c r="EO809" s="84"/>
      <c r="ES809" s="84"/>
      <c r="EW809" s="84"/>
    </row>
    <row r="810" customFormat="false" ht="12.75" hidden="false" customHeight="false" outlineLevel="0" collapsed="false">
      <c r="A810" s="37"/>
      <c r="E810" s="83"/>
      <c r="J810" s="84"/>
      <c r="N810" s="84"/>
      <c r="R810" s="84"/>
      <c r="V810" s="84"/>
      <c r="Z810" s="84"/>
      <c r="AD810" s="84"/>
      <c r="AH810" s="84"/>
      <c r="AL810" s="84"/>
      <c r="AP810" s="84"/>
      <c r="AT810" s="84"/>
      <c r="AX810" s="84"/>
      <c r="BB810" s="85"/>
      <c r="BC810" s="84"/>
      <c r="BD810" s="84"/>
      <c r="BF810" s="84"/>
      <c r="BL810" s="84"/>
      <c r="BP810" s="86"/>
      <c r="BV810" s="84"/>
      <c r="CA810" s="84"/>
      <c r="CF810" s="84"/>
      <c r="CK810" s="84"/>
      <c r="CP810" s="84"/>
      <c r="CS810" s="86"/>
      <c r="CT810" s="84"/>
      <c r="CW810" s="86"/>
      <c r="CX810" s="84"/>
      <c r="DA810" s="86"/>
      <c r="DB810" s="84"/>
      <c r="DE810" s="86"/>
      <c r="DF810" s="84"/>
      <c r="DI810" s="86"/>
      <c r="DJ810" s="84"/>
      <c r="DM810" s="86"/>
      <c r="DN810" s="84"/>
      <c r="DQ810" s="86"/>
      <c r="DR810" s="85"/>
      <c r="DS810" s="85"/>
      <c r="DT810" s="84"/>
      <c r="DV810" s="84"/>
      <c r="DW810" s="157"/>
      <c r="EB810" s="84"/>
      <c r="EG810" s="84"/>
      <c r="EK810" s="84"/>
      <c r="EO810" s="84"/>
      <c r="ES810" s="84"/>
      <c r="EW810" s="84"/>
    </row>
    <row r="811" customFormat="false" ht="12.75" hidden="false" customHeight="false" outlineLevel="0" collapsed="false">
      <c r="A811" s="37"/>
      <c r="E811" s="83"/>
      <c r="J811" s="84"/>
      <c r="N811" s="84"/>
      <c r="R811" s="84"/>
      <c r="V811" s="84"/>
      <c r="Z811" s="84"/>
      <c r="AD811" s="84"/>
      <c r="AH811" s="84"/>
      <c r="AL811" s="84"/>
      <c r="AP811" s="84"/>
      <c r="AT811" s="84"/>
      <c r="AX811" s="84"/>
      <c r="BB811" s="85"/>
      <c r="BC811" s="84"/>
      <c r="BD811" s="84"/>
      <c r="BF811" s="84"/>
      <c r="BL811" s="84"/>
      <c r="BP811" s="86"/>
      <c r="BV811" s="84"/>
      <c r="CA811" s="84"/>
      <c r="CF811" s="84"/>
      <c r="CK811" s="84"/>
      <c r="CP811" s="84"/>
      <c r="CS811" s="86"/>
      <c r="CT811" s="84"/>
      <c r="CW811" s="86"/>
      <c r="CX811" s="84"/>
      <c r="DA811" s="86"/>
      <c r="DB811" s="84"/>
      <c r="DE811" s="86"/>
      <c r="DF811" s="84"/>
      <c r="DI811" s="86"/>
      <c r="DJ811" s="84"/>
      <c r="DM811" s="86"/>
      <c r="DN811" s="84"/>
      <c r="DQ811" s="86"/>
      <c r="DR811" s="85"/>
      <c r="DS811" s="85"/>
      <c r="DT811" s="84"/>
      <c r="DV811" s="84"/>
      <c r="DW811" s="157"/>
      <c r="EB811" s="84"/>
      <c r="EG811" s="84"/>
      <c r="EK811" s="84"/>
      <c r="EO811" s="84"/>
      <c r="ES811" s="84"/>
      <c r="EW811" s="84"/>
    </row>
    <row r="812" customFormat="false" ht="12.75" hidden="false" customHeight="false" outlineLevel="0" collapsed="false">
      <c r="A812" s="37"/>
      <c r="E812" s="83"/>
      <c r="J812" s="84"/>
      <c r="N812" s="84"/>
      <c r="R812" s="84"/>
      <c r="V812" s="84"/>
      <c r="Z812" s="84"/>
      <c r="AD812" s="84"/>
      <c r="AH812" s="84"/>
      <c r="AL812" s="84"/>
      <c r="AP812" s="84"/>
      <c r="AT812" s="84"/>
      <c r="AX812" s="84"/>
      <c r="BB812" s="85"/>
      <c r="BC812" s="84"/>
      <c r="BD812" s="84"/>
      <c r="BF812" s="84"/>
      <c r="BL812" s="84"/>
      <c r="BP812" s="86"/>
      <c r="BV812" s="84"/>
      <c r="CA812" s="84"/>
      <c r="CF812" s="84"/>
      <c r="CK812" s="84"/>
      <c r="CP812" s="84"/>
      <c r="CS812" s="86"/>
      <c r="CT812" s="84"/>
      <c r="CW812" s="86"/>
      <c r="CX812" s="84"/>
      <c r="DA812" s="86"/>
      <c r="DB812" s="84"/>
      <c r="DE812" s="86"/>
      <c r="DF812" s="84"/>
      <c r="DI812" s="86"/>
      <c r="DJ812" s="84"/>
      <c r="DM812" s="86"/>
      <c r="DN812" s="84"/>
      <c r="DQ812" s="86"/>
      <c r="DR812" s="85"/>
      <c r="DS812" s="85"/>
      <c r="DT812" s="84"/>
      <c r="DV812" s="84"/>
      <c r="DW812" s="157"/>
      <c r="EB812" s="84"/>
      <c r="EG812" s="84"/>
      <c r="EK812" s="84"/>
      <c r="EO812" s="84"/>
      <c r="ES812" s="84"/>
      <c r="EW812" s="84"/>
    </row>
    <row r="813" customFormat="false" ht="12.75" hidden="false" customHeight="false" outlineLevel="0" collapsed="false">
      <c r="A813" s="37"/>
      <c r="E813" s="83"/>
      <c r="J813" s="84"/>
      <c r="N813" s="84"/>
      <c r="R813" s="84"/>
      <c r="V813" s="84"/>
      <c r="Z813" s="84"/>
      <c r="AD813" s="84"/>
      <c r="AH813" s="84"/>
      <c r="AL813" s="84"/>
      <c r="AP813" s="84"/>
      <c r="AT813" s="84"/>
      <c r="AX813" s="84"/>
      <c r="BB813" s="85"/>
      <c r="BC813" s="84"/>
      <c r="BD813" s="84"/>
      <c r="BF813" s="84"/>
      <c r="BL813" s="84"/>
      <c r="BP813" s="86"/>
      <c r="BV813" s="84"/>
      <c r="CA813" s="84"/>
      <c r="CF813" s="84"/>
      <c r="CK813" s="84"/>
      <c r="CP813" s="84"/>
      <c r="CS813" s="86"/>
      <c r="CT813" s="84"/>
      <c r="CW813" s="86"/>
      <c r="CX813" s="84"/>
      <c r="DA813" s="86"/>
      <c r="DB813" s="84"/>
      <c r="DE813" s="86"/>
      <c r="DF813" s="84"/>
      <c r="DI813" s="86"/>
      <c r="DJ813" s="84"/>
      <c r="DM813" s="86"/>
      <c r="DN813" s="84"/>
      <c r="DQ813" s="86"/>
      <c r="DR813" s="85"/>
      <c r="DS813" s="85"/>
      <c r="DT813" s="84"/>
      <c r="DV813" s="84"/>
      <c r="DW813" s="157"/>
      <c r="EB813" s="84"/>
      <c r="EG813" s="84"/>
      <c r="EK813" s="84"/>
      <c r="EO813" s="84"/>
      <c r="ES813" s="84"/>
      <c r="EW813" s="84"/>
    </row>
    <row r="814" customFormat="false" ht="12.75" hidden="false" customHeight="false" outlineLevel="0" collapsed="false">
      <c r="A814" s="37"/>
      <c r="E814" s="83"/>
      <c r="J814" s="84"/>
      <c r="N814" s="84"/>
      <c r="R814" s="84"/>
      <c r="V814" s="84"/>
      <c r="Z814" s="84"/>
      <c r="AD814" s="84"/>
      <c r="AH814" s="84"/>
      <c r="AL814" s="84"/>
      <c r="AP814" s="84"/>
      <c r="AT814" s="84"/>
      <c r="AX814" s="84"/>
      <c r="BB814" s="85"/>
      <c r="BC814" s="84"/>
      <c r="BD814" s="84"/>
      <c r="BF814" s="84"/>
      <c r="BL814" s="84"/>
      <c r="BP814" s="86"/>
      <c r="BV814" s="84"/>
      <c r="CA814" s="84"/>
      <c r="CF814" s="84"/>
      <c r="CK814" s="84"/>
      <c r="CP814" s="84"/>
      <c r="CS814" s="86"/>
      <c r="CT814" s="84"/>
      <c r="CW814" s="86"/>
      <c r="CX814" s="84"/>
      <c r="DA814" s="86"/>
      <c r="DB814" s="84"/>
      <c r="DE814" s="86"/>
      <c r="DF814" s="84"/>
      <c r="DI814" s="86"/>
      <c r="DJ814" s="84"/>
      <c r="DM814" s="86"/>
      <c r="DN814" s="84"/>
      <c r="DQ814" s="86"/>
      <c r="DR814" s="85"/>
      <c r="DS814" s="85"/>
      <c r="DT814" s="84"/>
      <c r="DV814" s="84"/>
      <c r="DW814" s="157"/>
      <c r="EB814" s="84"/>
      <c r="EG814" s="84"/>
      <c r="EK814" s="84"/>
      <c r="EO814" s="84"/>
      <c r="ES814" s="84"/>
      <c r="EW814" s="84"/>
    </row>
    <row r="815" customFormat="false" ht="12.75" hidden="false" customHeight="false" outlineLevel="0" collapsed="false">
      <c r="A815" s="37"/>
      <c r="E815" s="83"/>
      <c r="J815" s="84"/>
      <c r="N815" s="84"/>
      <c r="R815" s="84"/>
      <c r="V815" s="84"/>
      <c r="Z815" s="84"/>
      <c r="AD815" s="84"/>
      <c r="AH815" s="84"/>
      <c r="AL815" s="84"/>
      <c r="AP815" s="84"/>
      <c r="AT815" s="84"/>
      <c r="AX815" s="84"/>
      <c r="BB815" s="85"/>
      <c r="BC815" s="84"/>
      <c r="BD815" s="84"/>
      <c r="BF815" s="84"/>
      <c r="BL815" s="84"/>
      <c r="BP815" s="86"/>
      <c r="BV815" s="84"/>
      <c r="CA815" s="84"/>
      <c r="CF815" s="84"/>
      <c r="CK815" s="84"/>
      <c r="CP815" s="84"/>
      <c r="CS815" s="86"/>
      <c r="CT815" s="84"/>
      <c r="CW815" s="86"/>
      <c r="CX815" s="84"/>
      <c r="DA815" s="86"/>
      <c r="DB815" s="84"/>
      <c r="DE815" s="86"/>
      <c r="DF815" s="84"/>
      <c r="DI815" s="86"/>
      <c r="DJ815" s="84"/>
      <c r="DM815" s="86"/>
      <c r="DN815" s="84"/>
      <c r="DQ815" s="86"/>
      <c r="DR815" s="85"/>
      <c r="DS815" s="85"/>
      <c r="DT815" s="84"/>
      <c r="DV815" s="84"/>
      <c r="DW815" s="157"/>
      <c r="EB815" s="84"/>
      <c r="EG815" s="84"/>
      <c r="EK815" s="84"/>
      <c r="EO815" s="84"/>
      <c r="ES815" s="84"/>
      <c r="EW815" s="84"/>
    </row>
    <row r="816" customFormat="false" ht="12.75" hidden="false" customHeight="false" outlineLevel="0" collapsed="false">
      <c r="A816" s="37"/>
      <c r="E816" s="83"/>
      <c r="J816" s="84"/>
      <c r="N816" s="84"/>
      <c r="R816" s="84"/>
      <c r="V816" s="84"/>
      <c r="Z816" s="84"/>
      <c r="AD816" s="84"/>
      <c r="AH816" s="84"/>
      <c r="AL816" s="84"/>
      <c r="AP816" s="84"/>
      <c r="AT816" s="84"/>
      <c r="AX816" s="84"/>
      <c r="BB816" s="85"/>
      <c r="BC816" s="84"/>
      <c r="BD816" s="84"/>
      <c r="BF816" s="84"/>
      <c r="BL816" s="84"/>
      <c r="BP816" s="86"/>
      <c r="BV816" s="84"/>
      <c r="CA816" s="84"/>
      <c r="CF816" s="84"/>
      <c r="CK816" s="84"/>
      <c r="CP816" s="84"/>
      <c r="CS816" s="86"/>
      <c r="CT816" s="84"/>
      <c r="CW816" s="86"/>
      <c r="CX816" s="84"/>
      <c r="DA816" s="86"/>
      <c r="DB816" s="84"/>
      <c r="DE816" s="86"/>
      <c r="DF816" s="84"/>
      <c r="DI816" s="86"/>
      <c r="DJ816" s="84"/>
      <c r="DM816" s="86"/>
      <c r="DN816" s="84"/>
      <c r="DQ816" s="86"/>
      <c r="DR816" s="85"/>
      <c r="DS816" s="85"/>
      <c r="DT816" s="84"/>
      <c r="DV816" s="84"/>
      <c r="DW816" s="157"/>
      <c r="EB816" s="84"/>
      <c r="EG816" s="84"/>
      <c r="EK816" s="84"/>
      <c r="EO816" s="84"/>
      <c r="ES816" s="84"/>
      <c r="EW816" s="84"/>
    </row>
    <row r="817" customFormat="false" ht="12.75" hidden="false" customHeight="false" outlineLevel="0" collapsed="false">
      <c r="A817" s="37"/>
      <c r="E817" s="83"/>
      <c r="J817" s="84"/>
      <c r="N817" s="84"/>
      <c r="R817" s="84"/>
      <c r="V817" s="84"/>
      <c r="Z817" s="84"/>
      <c r="AD817" s="84"/>
      <c r="AH817" s="84"/>
      <c r="AL817" s="84"/>
      <c r="AP817" s="84"/>
      <c r="AT817" s="84"/>
      <c r="AX817" s="84"/>
      <c r="BB817" s="85"/>
      <c r="BC817" s="84"/>
      <c r="BD817" s="84"/>
      <c r="BF817" s="84"/>
      <c r="BL817" s="84"/>
      <c r="BP817" s="86"/>
      <c r="BV817" s="84"/>
      <c r="CA817" s="84"/>
      <c r="CF817" s="84"/>
      <c r="CK817" s="84"/>
      <c r="CP817" s="84"/>
      <c r="CS817" s="86"/>
      <c r="CT817" s="84"/>
      <c r="CW817" s="86"/>
      <c r="CX817" s="84"/>
      <c r="DA817" s="86"/>
      <c r="DB817" s="84"/>
      <c r="DE817" s="86"/>
      <c r="DF817" s="84"/>
      <c r="DI817" s="86"/>
      <c r="DJ817" s="84"/>
      <c r="DM817" s="86"/>
      <c r="DN817" s="84"/>
      <c r="DQ817" s="86"/>
      <c r="DR817" s="85"/>
      <c r="DS817" s="85"/>
      <c r="DT817" s="84"/>
      <c r="DV817" s="84"/>
      <c r="DW817" s="157"/>
      <c r="EB817" s="84"/>
      <c r="EG817" s="84"/>
      <c r="EK817" s="84"/>
      <c r="EO817" s="84"/>
      <c r="ES817" s="84"/>
      <c r="EW817" s="84"/>
    </row>
    <row r="818" customFormat="false" ht="12.75" hidden="false" customHeight="false" outlineLevel="0" collapsed="false">
      <c r="A818" s="37"/>
      <c r="E818" s="83"/>
      <c r="J818" s="84"/>
      <c r="N818" s="84"/>
      <c r="R818" s="84"/>
      <c r="V818" s="84"/>
      <c r="Z818" s="84"/>
      <c r="AD818" s="84"/>
      <c r="AH818" s="84"/>
      <c r="AL818" s="84"/>
      <c r="AP818" s="84"/>
      <c r="AT818" s="84"/>
      <c r="AX818" s="84"/>
      <c r="BB818" s="85"/>
      <c r="BC818" s="84"/>
      <c r="BD818" s="84"/>
      <c r="BF818" s="84"/>
      <c r="BL818" s="84"/>
      <c r="BP818" s="86"/>
      <c r="BV818" s="84"/>
      <c r="CA818" s="84"/>
      <c r="CF818" s="84"/>
      <c r="CK818" s="84"/>
      <c r="CP818" s="84"/>
      <c r="CS818" s="86"/>
      <c r="CT818" s="84"/>
      <c r="CW818" s="86"/>
      <c r="CX818" s="84"/>
      <c r="DA818" s="86"/>
      <c r="DB818" s="84"/>
      <c r="DE818" s="86"/>
      <c r="DF818" s="84"/>
      <c r="DI818" s="86"/>
      <c r="DJ818" s="84"/>
      <c r="DM818" s="86"/>
      <c r="DN818" s="84"/>
      <c r="DQ818" s="86"/>
      <c r="DR818" s="85"/>
      <c r="DS818" s="85"/>
      <c r="DT818" s="84"/>
      <c r="DV818" s="84"/>
      <c r="DW818" s="157"/>
      <c r="EB818" s="84"/>
      <c r="EG818" s="84"/>
      <c r="EK818" s="84"/>
      <c r="EO818" s="84"/>
      <c r="ES818" s="84"/>
      <c r="EW818" s="84"/>
    </row>
    <row r="819" customFormat="false" ht="12.75" hidden="false" customHeight="false" outlineLevel="0" collapsed="false">
      <c r="A819" s="37"/>
      <c r="E819" s="83"/>
      <c r="J819" s="84"/>
      <c r="N819" s="84"/>
      <c r="R819" s="84"/>
      <c r="V819" s="84"/>
      <c r="Z819" s="84"/>
      <c r="AD819" s="84"/>
      <c r="AH819" s="84"/>
      <c r="AL819" s="84"/>
      <c r="AP819" s="84"/>
      <c r="AT819" s="84"/>
      <c r="AX819" s="84"/>
      <c r="BB819" s="85"/>
      <c r="BC819" s="84"/>
      <c r="BD819" s="84"/>
      <c r="BF819" s="84"/>
      <c r="BL819" s="84"/>
      <c r="BP819" s="86"/>
      <c r="BV819" s="84"/>
      <c r="CA819" s="84"/>
      <c r="CF819" s="84"/>
      <c r="CK819" s="84"/>
      <c r="CP819" s="84"/>
      <c r="CS819" s="86"/>
      <c r="CT819" s="84"/>
      <c r="CW819" s="86"/>
      <c r="CX819" s="84"/>
      <c r="DA819" s="86"/>
      <c r="DB819" s="84"/>
      <c r="DE819" s="86"/>
      <c r="DF819" s="84"/>
      <c r="DI819" s="86"/>
      <c r="DJ819" s="84"/>
      <c r="DM819" s="86"/>
      <c r="DN819" s="84"/>
      <c r="DQ819" s="86"/>
      <c r="DR819" s="85"/>
      <c r="DS819" s="85"/>
      <c r="DT819" s="84"/>
      <c r="DV819" s="84"/>
      <c r="DW819" s="157"/>
      <c r="EB819" s="84"/>
      <c r="EG819" s="84"/>
      <c r="EK819" s="84"/>
      <c r="EO819" s="84"/>
      <c r="ES819" s="84"/>
      <c r="EW819" s="84"/>
    </row>
    <row r="820" customFormat="false" ht="12.75" hidden="false" customHeight="false" outlineLevel="0" collapsed="false">
      <c r="A820" s="37"/>
      <c r="E820" s="83"/>
      <c r="J820" s="84"/>
      <c r="N820" s="84"/>
      <c r="R820" s="84"/>
      <c r="V820" s="84"/>
      <c r="Z820" s="84"/>
      <c r="AD820" s="84"/>
      <c r="AH820" s="84"/>
      <c r="AL820" s="84"/>
      <c r="AP820" s="84"/>
      <c r="AT820" s="84"/>
      <c r="AX820" s="84"/>
      <c r="BB820" s="85"/>
      <c r="BC820" s="84"/>
      <c r="BD820" s="84"/>
      <c r="BF820" s="84"/>
      <c r="BL820" s="84"/>
      <c r="BP820" s="86"/>
      <c r="BV820" s="84"/>
      <c r="CA820" s="84"/>
      <c r="CF820" s="84"/>
      <c r="CK820" s="84"/>
      <c r="CP820" s="84"/>
      <c r="CS820" s="86"/>
      <c r="CT820" s="84"/>
      <c r="CW820" s="86"/>
      <c r="CX820" s="84"/>
      <c r="DA820" s="86"/>
      <c r="DB820" s="84"/>
      <c r="DE820" s="86"/>
      <c r="DF820" s="84"/>
      <c r="DI820" s="86"/>
      <c r="DJ820" s="84"/>
      <c r="DM820" s="86"/>
      <c r="DN820" s="84"/>
      <c r="DQ820" s="86"/>
      <c r="DR820" s="85"/>
      <c r="DS820" s="85"/>
      <c r="DT820" s="84"/>
      <c r="DV820" s="84"/>
      <c r="DW820" s="157"/>
      <c r="EB820" s="84"/>
      <c r="EG820" s="84"/>
      <c r="EK820" s="84"/>
      <c r="EO820" s="84"/>
      <c r="ES820" s="84"/>
      <c r="EW820" s="84"/>
    </row>
    <row r="821" customFormat="false" ht="12.75" hidden="false" customHeight="false" outlineLevel="0" collapsed="false">
      <c r="A821" s="37"/>
      <c r="E821" s="83"/>
      <c r="J821" s="84"/>
      <c r="N821" s="84"/>
      <c r="R821" s="84"/>
      <c r="V821" s="84"/>
      <c r="Z821" s="84"/>
      <c r="AD821" s="84"/>
      <c r="AH821" s="84"/>
      <c r="AL821" s="84"/>
      <c r="AP821" s="84"/>
      <c r="AT821" s="84"/>
      <c r="AX821" s="84"/>
      <c r="BB821" s="85"/>
      <c r="BC821" s="84"/>
      <c r="BD821" s="84"/>
      <c r="BF821" s="84"/>
      <c r="BL821" s="84"/>
      <c r="BP821" s="86"/>
      <c r="BV821" s="84"/>
      <c r="CA821" s="84"/>
      <c r="CF821" s="84"/>
      <c r="CK821" s="84"/>
      <c r="CP821" s="84"/>
      <c r="CS821" s="86"/>
      <c r="CT821" s="84"/>
      <c r="CW821" s="86"/>
      <c r="CX821" s="84"/>
      <c r="DA821" s="86"/>
      <c r="DB821" s="84"/>
      <c r="DE821" s="86"/>
      <c r="DF821" s="84"/>
      <c r="DI821" s="86"/>
      <c r="DJ821" s="84"/>
      <c r="DM821" s="86"/>
      <c r="DN821" s="84"/>
      <c r="DQ821" s="86"/>
      <c r="DR821" s="85"/>
      <c r="DS821" s="85"/>
      <c r="DT821" s="84"/>
      <c r="DV821" s="84"/>
      <c r="DW821" s="157"/>
      <c r="EB821" s="84"/>
      <c r="EG821" s="84"/>
      <c r="EK821" s="84"/>
      <c r="EO821" s="84"/>
      <c r="ES821" s="84"/>
      <c r="EW821" s="84"/>
    </row>
    <row r="822" customFormat="false" ht="12.75" hidden="false" customHeight="false" outlineLevel="0" collapsed="false">
      <c r="A822" s="37"/>
      <c r="E822" s="83"/>
      <c r="J822" s="84"/>
      <c r="N822" s="84"/>
      <c r="R822" s="84"/>
      <c r="V822" s="84"/>
      <c r="Z822" s="84"/>
      <c r="AD822" s="84"/>
      <c r="AH822" s="84"/>
      <c r="AL822" s="84"/>
      <c r="AP822" s="84"/>
      <c r="AT822" s="84"/>
      <c r="AX822" s="84"/>
      <c r="BB822" s="85"/>
      <c r="BC822" s="84"/>
      <c r="BD822" s="84"/>
      <c r="BF822" s="84"/>
      <c r="BL822" s="84"/>
      <c r="BP822" s="86"/>
      <c r="BV822" s="84"/>
      <c r="CA822" s="84"/>
      <c r="CF822" s="84"/>
      <c r="CK822" s="84"/>
      <c r="CP822" s="84"/>
      <c r="CS822" s="86"/>
      <c r="CT822" s="84"/>
      <c r="CW822" s="86"/>
      <c r="CX822" s="84"/>
      <c r="DA822" s="86"/>
      <c r="DB822" s="84"/>
      <c r="DE822" s="86"/>
      <c r="DF822" s="84"/>
      <c r="DI822" s="86"/>
      <c r="DJ822" s="84"/>
      <c r="DM822" s="86"/>
      <c r="DN822" s="84"/>
      <c r="DQ822" s="86"/>
      <c r="DR822" s="85"/>
      <c r="DS822" s="85"/>
      <c r="DT822" s="84"/>
      <c r="DV822" s="84"/>
      <c r="DW822" s="157"/>
      <c r="EB822" s="84"/>
      <c r="EG822" s="84"/>
      <c r="EK822" s="84"/>
      <c r="EO822" s="84"/>
      <c r="ES822" s="84"/>
      <c r="EW822" s="84"/>
    </row>
    <row r="823" customFormat="false" ht="12.75" hidden="false" customHeight="false" outlineLevel="0" collapsed="false">
      <c r="A823" s="37"/>
      <c r="E823" s="83"/>
      <c r="J823" s="84"/>
      <c r="N823" s="84"/>
      <c r="R823" s="84"/>
      <c r="V823" s="84"/>
      <c r="Z823" s="84"/>
      <c r="AD823" s="84"/>
      <c r="AH823" s="84"/>
      <c r="AL823" s="84"/>
      <c r="AP823" s="84"/>
      <c r="AT823" s="84"/>
      <c r="AX823" s="84"/>
      <c r="BB823" s="85"/>
      <c r="BC823" s="84"/>
      <c r="BD823" s="84"/>
      <c r="BF823" s="84"/>
      <c r="BL823" s="84"/>
      <c r="BP823" s="86"/>
      <c r="BV823" s="84"/>
      <c r="CA823" s="84"/>
      <c r="CF823" s="84"/>
      <c r="CK823" s="84"/>
      <c r="CP823" s="84"/>
      <c r="CS823" s="86"/>
      <c r="CT823" s="84"/>
      <c r="CW823" s="86"/>
      <c r="CX823" s="84"/>
      <c r="DA823" s="86"/>
      <c r="DB823" s="84"/>
      <c r="DE823" s="86"/>
      <c r="DF823" s="84"/>
      <c r="DI823" s="86"/>
      <c r="DJ823" s="84"/>
      <c r="DM823" s="86"/>
      <c r="DN823" s="84"/>
      <c r="DQ823" s="86"/>
      <c r="DR823" s="85"/>
      <c r="DS823" s="85"/>
      <c r="DT823" s="84"/>
      <c r="DV823" s="84"/>
      <c r="DW823" s="157"/>
      <c r="EB823" s="84"/>
      <c r="EG823" s="84"/>
      <c r="EK823" s="84"/>
      <c r="EO823" s="84"/>
      <c r="ES823" s="84"/>
      <c r="EW823" s="84"/>
    </row>
    <row r="824" customFormat="false" ht="12.75" hidden="false" customHeight="false" outlineLevel="0" collapsed="false">
      <c r="A824" s="37"/>
      <c r="E824" s="83"/>
      <c r="J824" s="84"/>
      <c r="N824" s="84"/>
      <c r="R824" s="84"/>
      <c r="V824" s="84"/>
      <c r="Z824" s="84"/>
      <c r="AD824" s="84"/>
      <c r="AH824" s="84"/>
      <c r="AL824" s="84"/>
      <c r="AP824" s="84"/>
      <c r="AT824" s="84"/>
      <c r="AX824" s="84"/>
      <c r="BB824" s="85"/>
      <c r="BC824" s="84"/>
      <c r="BD824" s="84"/>
      <c r="BF824" s="84"/>
      <c r="BL824" s="84"/>
      <c r="BP824" s="86"/>
      <c r="BV824" s="84"/>
      <c r="CA824" s="84"/>
      <c r="CF824" s="84"/>
      <c r="CK824" s="84"/>
      <c r="CP824" s="84"/>
      <c r="CS824" s="86"/>
      <c r="CT824" s="84"/>
      <c r="CW824" s="86"/>
      <c r="CX824" s="84"/>
      <c r="DA824" s="86"/>
      <c r="DB824" s="84"/>
      <c r="DE824" s="86"/>
      <c r="DF824" s="84"/>
      <c r="DI824" s="86"/>
      <c r="DJ824" s="84"/>
      <c r="DM824" s="86"/>
      <c r="DN824" s="84"/>
      <c r="DQ824" s="86"/>
      <c r="DR824" s="85"/>
      <c r="DS824" s="85"/>
      <c r="DT824" s="84"/>
      <c r="DV824" s="84"/>
      <c r="DW824" s="157"/>
      <c r="EB824" s="84"/>
      <c r="EG824" s="84"/>
      <c r="EK824" s="84"/>
      <c r="EO824" s="84"/>
      <c r="ES824" s="84"/>
      <c r="EW824" s="84"/>
    </row>
    <row r="825" customFormat="false" ht="12.75" hidden="false" customHeight="false" outlineLevel="0" collapsed="false">
      <c r="A825" s="37"/>
      <c r="E825" s="83"/>
      <c r="J825" s="84"/>
      <c r="N825" s="84"/>
      <c r="R825" s="84"/>
      <c r="V825" s="84"/>
      <c r="Z825" s="84"/>
      <c r="AD825" s="84"/>
      <c r="AH825" s="84"/>
      <c r="AL825" s="84"/>
      <c r="AP825" s="84"/>
      <c r="AT825" s="84"/>
      <c r="AX825" s="84"/>
      <c r="BB825" s="85"/>
      <c r="BC825" s="84"/>
      <c r="BD825" s="84"/>
      <c r="BF825" s="84"/>
      <c r="BL825" s="84"/>
      <c r="BP825" s="86"/>
      <c r="BV825" s="84"/>
      <c r="CA825" s="84"/>
      <c r="CF825" s="84"/>
      <c r="CK825" s="84"/>
      <c r="CP825" s="84"/>
      <c r="CS825" s="86"/>
      <c r="CT825" s="84"/>
      <c r="CW825" s="86"/>
      <c r="CX825" s="84"/>
      <c r="DA825" s="86"/>
      <c r="DB825" s="84"/>
      <c r="DE825" s="86"/>
      <c r="DF825" s="84"/>
      <c r="DI825" s="86"/>
      <c r="DJ825" s="84"/>
      <c r="DM825" s="86"/>
      <c r="DN825" s="84"/>
      <c r="DQ825" s="86"/>
      <c r="DR825" s="85"/>
      <c r="DS825" s="85"/>
      <c r="DT825" s="84"/>
      <c r="DV825" s="84"/>
      <c r="DW825" s="157"/>
      <c r="EB825" s="84"/>
      <c r="EG825" s="84"/>
      <c r="EK825" s="84"/>
      <c r="EO825" s="84"/>
      <c r="ES825" s="84"/>
      <c r="EW825" s="84"/>
    </row>
    <row r="826" customFormat="false" ht="12.75" hidden="false" customHeight="false" outlineLevel="0" collapsed="false">
      <c r="A826" s="37"/>
      <c r="E826" s="83"/>
      <c r="J826" s="84"/>
      <c r="N826" s="84"/>
      <c r="R826" s="84"/>
      <c r="V826" s="84"/>
      <c r="Z826" s="84"/>
      <c r="AD826" s="84"/>
      <c r="AH826" s="84"/>
      <c r="AL826" s="84"/>
      <c r="AP826" s="84"/>
      <c r="AT826" s="84"/>
      <c r="AX826" s="84"/>
      <c r="BB826" s="85"/>
      <c r="BC826" s="84"/>
      <c r="BD826" s="84"/>
      <c r="BF826" s="84"/>
      <c r="BL826" s="84"/>
      <c r="BP826" s="86"/>
      <c r="BV826" s="84"/>
      <c r="CA826" s="84"/>
      <c r="CF826" s="84"/>
      <c r="CK826" s="84"/>
      <c r="CP826" s="84"/>
      <c r="CS826" s="86"/>
      <c r="CT826" s="84"/>
      <c r="CW826" s="86"/>
      <c r="CX826" s="84"/>
      <c r="DA826" s="86"/>
      <c r="DB826" s="84"/>
      <c r="DE826" s="86"/>
      <c r="DF826" s="84"/>
      <c r="DI826" s="86"/>
      <c r="DJ826" s="84"/>
      <c r="DM826" s="86"/>
      <c r="DN826" s="84"/>
      <c r="DQ826" s="86"/>
      <c r="DR826" s="85"/>
      <c r="DS826" s="85"/>
      <c r="DT826" s="84"/>
      <c r="DV826" s="84"/>
      <c r="DW826" s="157"/>
      <c r="EB826" s="84"/>
      <c r="EG826" s="84"/>
      <c r="EK826" s="84"/>
      <c r="EO826" s="84"/>
      <c r="ES826" s="84"/>
      <c r="EW826" s="84"/>
    </row>
    <row r="827" customFormat="false" ht="12.75" hidden="false" customHeight="false" outlineLevel="0" collapsed="false">
      <c r="A827" s="37"/>
      <c r="E827" s="83"/>
      <c r="J827" s="84"/>
      <c r="N827" s="84"/>
      <c r="R827" s="84"/>
      <c r="V827" s="84"/>
      <c r="Z827" s="84"/>
      <c r="AD827" s="84"/>
      <c r="AH827" s="84"/>
      <c r="AL827" s="84"/>
      <c r="AP827" s="84"/>
      <c r="AT827" s="84"/>
      <c r="AX827" s="84"/>
      <c r="BB827" s="85"/>
      <c r="BC827" s="84"/>
      <c r="BD827" s="84"/>
      <c r="BF827" s="84"/>
      <c r="BL827" s="84"/>
      <c r="BP827" s="86"/>
      <c r="BV827" s="84"/>
      <c r="CA827" s="84"/>
      <c r="CF827" s="84"/>
      <c r="CK827" s="84"/>
      <c r="CP827" s="84"/>
      <c r="CS827" s="86"/>
      <c r="CT827" s="84"/>
      <c r="CW827" s="86"/>
      <c r="CX827" s="84"/>
      <c r="DA827" s="86"/>
      <c r="DB827" s="84"/>
      <c r="DE827" s="86"/>
      <c r="DF827" s="84"/>
      <c r="DI827" s="86"/>
      <c r="DJ827" s="84"/>
      <c r="DM827" s="86"/>
      <c r="DN827" s="84"/>
      <c r="DQ827" s="86"/>
      <c r="DR827" s="85"/>
      <c r="DS827" s="85"/>
      <c r="DT827" s="84"/>
      <c r="DV827" s="84"/>
      <c r="DW827" s="157"/>
      <c r="EB827" s="84"/>
      <c r="EG827" s="84"/>
      <c r="EK827" s="84"/>
      <c r="EO827" s="84"/>
      <c r="ES827" s="84"/>
      <c r="EW827" s="84"/>
    </row>
    <row r="828" customFormat="false" ht="12.75" hidden="false" customHeight="false" outlineLevel="0" collapsed="false">
      <c r="A828" s="37"/>
      <c r="E828" s="83"/>
      <c r="J828" s="84"/>
      <c r="N828" s="84"/>
      <c r="R828" s="84"/>
      <c r="V828" s="84"/>
      <c r="Z828" s="84"/>
      <c r="AD828" s="84"/>
      <c r="AH828" s="84"/>
      <c r="AL828" s="84"/>
      <c r="AP828" s="84"/>
      <c r="AT828" s="84"/>
      <c r="AX828" s="84"/>
      <c r="BB828" s="85"/>
      <c r="BC828" s="84"/>
      <c r="BD828" s="84"/>
      <c r="BF828" s="84"/>
      <c r="BL828" s="84"/>
      <c r="BP828" s="86"/>
      <c r="BV828" s="84"/>
      <c r="CA828" s="84"/>
      <c r="CF828" s="84"/>
      <c r="CK828" s="84"/>
      <c r="CP828" s="84"/>
      <c r="CS828" s="86"/>
      <c r="CT828" s="84"/>
      <c r="CW828" s="86"/>
      <c r="CX828" s="84"/>
      <c r="DA828" s="86"/>
      <c r="DB828" s="84"/>
      <c r="DE828" s="86"/>
      <c r="DF828" s="84"/>
      <c r="DI828" s="86"/>
      <c r="DJ828" s="84"/>
      <c r="DM828" s="86"/>
      <c r="DN828" s="84"/>
      <c r="DQ828" s="86"/>
      <c r="DR828" s="85"/>
      <c r="DS828" s="85"/>
      <c r="DT828" s="84"/>
      <c r="DV828" s="84"/>
      <c r="DW828" s="157"/>
      <c r="EB828" s="84"/>
      <c r="EG828" s="84"/>
      <c r="EK828" s="84"/>
      <c r="EO828" s="84"/>
      <c r="ES828" s="84"/>
      <c r="EW828" s="84"/>
    </row>
    <row r="829" customFormat="false" ht="12.75" hidden="false" customHeight="false" outlineLevel="0" collapsed="false">
      <c r="A829" s="37"/>
      <c r="E829" s="83"/>
      <c r="J829" s="84"/>
      <c r="N829" s="84"/>
      <c r="R829" s="84"/>
      <c r="V829" s="84"/>
      <c r="Z829" s="84"/>
      <c r="AD829" s="84"/>
      <c r="AH829" s="84"/>
      <c r="AL829" s="84"/>
      <c r="AP829" s="84"/>
      <c r="AT829" s="84"/>
      <c r="AX829" s="84"/>
      <c r="BB829" s="85"/>
      <c r="BC829" s="84"/>
      <c r="BD829" s="84"/>
      <c r="BF829" s="84"/>
      <c r="BL829" s="84"/>
      <c r="BP829" s="86"/>
      <c r="BV829" s="84"/>
      <c r="CA829" s="84"/>
      <c r="CF829" s="84"/>
      <c r="CK829" s="84"/>
      <c r="CP829" s="84"/>
      <c r="CS829" s="86"/>
      <c r="CT829" s="84"/>
      <c r="CW829" s="86"/>
      <c r="CX829" s="84"/>
      <c r="DA829" s="86"/>
      <c r="DB829" s="84"/>
      <c r="DE829" s="86"/>
      <c r="DF829" s="84"/>
      <c r="DI829" s="86"/>
      <c r="DJ829" s="84"/>
      <c r="DM829" s="86"/>
      <c r="DN829" s="84"/>
      <c r="DQ829" s="86"/>
      <c r="DR829" s="85"/>
      <c r="DS829" s="85"/>
      <c r="DT829" s="84"/>
      <c r="DV829" s="84"/>
      <c r="DW829" s="157"/>
      <c r="EB829" s="84"/>
      <c r="EG829" s="84"/>
      <c r="EK829" s="84"/>
      <c r="EO829" s="84"/>
      <c r="ES829" s="84"/>
      <c r="EW829" s="84"/>
    </row>
    <row r="830" customFormat="false" ht="12.75" hidden="false" customHeight="false" outlineLevel="0" collapsed="false">
      <c r="A830" s="37"/>
      <c r="E830" s="83"/>
      <c r="J830" s="84"/>
      <c r="N830" s="84"/>
      <c r="R830" s="84"/>
      <c r="V830" s="84"/>
      <c r="Z830" s="84"/>
      <c r="AD830" s="84"/>
      <c r="AH830" s="84"/>
      <c r="AL830" s="84"/>
      <c r="AP830" s="84"/>
      <c r="AT830" s="84"/>
      <c r="AX830" s="84"/>
      <c r="BB830" s="85"/>
      <c r="BC830" s="84"/>
      <c r="BD830" s="84"/>
      <c r="BF830" s="84"/>
      <c r="BL830" s="84"/>
      <c r="BP830" s="86"/>
      <c r="BV830" s="84"/>
      <c r="CA830" s="84"/>
      <c r="CF830" s="84"/>
      <c r="CK830" s="84"/>
      <c r="CP830" s="84"/>
      <c r="CS830" s="86"/>
      <c r="CT830" s="84"/>
      <c r="CW830" s="86"/>
      <c r="CX830" s="84"/>
      <c r="DA830" s="86"/>
      <c r="DB830" s="84"/>
      <c r="DE830" s="86"/>
      <c r="DF830" s="84"/>
      <c r="DI830" s="86"/>
      <c r="DJ830" s="84"/>
      <c r="DM830" s="86"/>
      <c r="DN830" s="84"/>
      <c r="DQ830" s="86"/>
      <c r="DR830" s="85"/>
      <c r="DS830" s="85"/>
      <c r="DT830" s="84"/>
      <c r="DV830" s="84"/>
      <c r="DW830" s="157"/>
      <c r="EB830" s="84"/>
      <c r="EG830" s="84"/>
      <c r="EK830" s="84"/>
      <c r="EO830" s="84"/>
      <c r="ES830" s="84"/>
      <c r="EW830" s="84"/>
    </row>
    <row r="831" customFormat="false" ht="12.75" hidden="false" customHeight="false" outlineLevel="0" collapsed="false">
      <c r="A831" s="37"/>
      <c r="E831" s="83"/>
      <c r="J831" s="84"/>
      <c r="N831" s="84"/>
      <c r="R831" s="84"/>
      <c r="V831" s="84"/>
      <c r="Z831" s="84"/>
      <c r="AD831" s="84"/>
      <c r="AH831" s="84"/>
      <c r="AL831" s="84"/>
      <c r="AP831" s="84"/>
      <c r="AT831" s="84"/>
      <c r="AX831" s="84"/>
      <c r="BB831" s="85"/>
      <c r="BC831" s="84"/>
      <c r="BD831" s="84"/>
      <c r="BF831" s="84"/>
      <c r="BL831" s="84"/>
      <c r="BP831" s="86"/>
      <c r="BV831" s="84"/>
      <c r="CA831" s="84"/>
      <c r="CF831" s="84"/>
      <c r="CK831" s="84"/>
      <c r="CP831" s="84"/>
      <c r="CS831" s="86"/>
      <c r="CT831" s="84"/>
      <c r="CW831" s="86"/>
      <c r="CX831" s="84"/>
      <c r="DA831" s="86"/>
      <c r="DB831" s="84"/>
      <c r="DE831" s="86"/>
      <c r="DF831" s="84"/>
      <c r="DI831" s="86"/>
      <c r="DJ831" s="84"/>
      <c r="DM831" s="86"/>
      <c r="DN831" s="84"/>
      <c r="DQ831" s="86"/>
      <c r="DR831" s="85"/>
      <c r="DS831" s="85"/>
      <c r="DT831" s="84"/>
      <c r="DV831" s="84"/>
      <c r="DW831" s="157"/>
      <c r="EB831" s="84"/>
      <c r="EG831" s="84"/>
      <c r="EK831" s="84"/>
      <c r="EO831" s="84"/>
      <c r="ES831" s="84"/>
      <c r="EW831" s="84"/>
    </row>
    <row r="832" customFormat="false" ht="12.75" hidden="false" customHeight="false" outlineLevel="0" collapsed="false">
      <c r="A832" s="37"/>
      <c r="E832" s="83"/>
      <c r="J832" s="84"/>
      <c r="N832" s="84"/>
      <c r="R832" s="84"/>
      <c r="V832" s="84"/>
      <c r="Z832" s="84"/>
      <c r="AD832" s="84"/>
      <c r="AH832" s="84"/>
      <c r="AL832" s="84"/>
      <c r="AP832" s="84"/>
      <c r="AT832" s="84"/>
      <c r="AX832" s="84"/>
      <c r="BB832" s="85"/>
      <c r="BC832" s="84"/>
      <c r="BD832" s="84"/>
      <c r="BF832" s="84"/>
      <c r="BL832" s="84"/>
      <c r="BP832" s="86"/>
      <c r="BV832" s="84"/>
      <c r="CA832" s="84"/>
      <c r="CF832" s="84"/>
      <c r="CK832" s="84"/>
      <c r="CP832" s="84"/>
      <c r="CS832" s="86"/>
      <c r="CT832" s="84"/>
      <c r="CW832" s="86"/>
      <c r="CX832" s="84"/>
      <c r="DA832" s="86"/>
      <c r="DB832" s="84"/>
      <c r="DE832" s="86"/>
      <c r="DF832" s="84"/>
      <c r="DI832" s="86"/>
      <c r="DJ832" s="84"/>
      <c r="DM832" s="86"/>
      <c r="DN832" s="84"/>
      <c r="DQ832" s="86"/>
      <c r="DR832" s="85"/>
      <c r="DS832" s="85"/>
      <c r="DT832" s="84"/>
      <c r="DV832" s="84"/>
      <c r="DW832" s="157"/>
      <c r="EB832" s="84"/>
      <c r="EG832" s="84"/>
      <c r="EK832" s="84"/>
      <c r="EO832" s="84"/>
      <c r="ES832" s="84"/>
      <c r="EW832" s="84"/>
    </row>
    <row r="833" customFormat="false" ht="12.75" hidden="false" customHeight="false" outlineLevel="0" collapsed="false">
      <c r="A833" s="37"/>
      <c r="E833" s="83"/>
      <c r="J833" s="84"/>
      <c r="N833" s="84"/>
      <c r="R833" s="84"/>
      <c r="V833" s="84"/>
      <c r="Z833" s="84"/>
      <c r="AD833" s="84"/>
      <c r="AH833" s="84"/>
      <c r="AL833" s="84"/>
      <c r="AP833" s="84"/>
      <c r="AT833" s="84"/>
      <c r="AX833" s="84"/>
      <c r="BB833" s="85"/>
      <c r="BC833" s="84"/>
      <c r="BD833" s="84"/>
      <c r="BF833" s="84"/>
      <c r="BL833" s="84"/>
      <c r="BP833" s="86"/>
      <c r="BV833" s="84"/>
      <c r="CA833" s="84"/>
      <c r="CF833" s="84"/>
      <c r="CK833" s="84"/>
      <c r="CP833" s="84"/>
      <c r="CS833" s="86"/>
      <c r="CT833" s="84"/>
      <c r="CW833" s="86"/>
      <c r="CX833" s="84"/>
      <c r="DA833" s="86"/>
      <c r="DB833" s="84"/>
      <c r="DE833" s="86"/>
      <c r="DF833" s="84"/>
      <c r="DI833" s="86"/>
      <c r="DJ833" s="84"/>
      <c r="DM833" s="86"/>
      <c r="DN833" s="84"/>
      <c r="DQ833" s="86"/>
      <c r="DR833" s="85"/>
      <c r="DS833" s="85"/>
      <c r="DT833" s="84"/>
      <c r="DV833" s="84"/>
      <c r="DW833" s="157"/>
      <c r="EB833" s="84"/>
      <c r="EG833" s="84"/>
      <c r="EK833" s="84"/>
      <c r="EO833" s="84"/>
      <c r="ES833" s="84"/>
      <c r="EW833" s="84"/>
    </row>
    <row r="834" customFormat="false" ht="12.75" hidden="false" customHeight="false" outlineLevel="0" collapsed="false">
      <c r="A834" s="37"/>
      <c r="E834" s="83"/>
      <c r="J834" s="84"/>
      <c r="N834" s="84"/>
      <c r="R834" s="84"/>
      <c r="V834" s="84"/>
      <c r="Z834" s="84"/>
      <c r="AD834" s="84"/>
      <c r="AH834" s="84"/>
      <c r="AL834" s="84"/>
      <c r="AP834" s="84"/>
      <c r="AT834" s="84"/>
      <c r="AX834" s="84"/>
      <c r="BB834" s="85"/>
      <c r="BC834" s="84"/>
      <c r="BD834" s="84"/>
      <c r="BF834" s="84"/>
      <c r="BL834" s="84"/>
      <c r="BP834" s="86"/>
      <c r="BV834" s="84"/>
      <c r="CA834" s="84"/>
      <c r="CF834" s="84"/>
      <c r="CK834" s="84"/>
      <c r="CP834" s="84"/>
      <c r="CS834" s="86"/>
      <c r="CT834" s="84"/>
      <c r="CW834" s="86"/>
      <c r="CX834" s="84"/>
      <c r="DA834" s="86"/>
      <c r="DB834" s="84"/>
      <c r="DE834" s="86"/>
      <c r="DF834" s="84"/>
      <c r="DI834" s="86"/>
      <c r="DJ834" s="84"/>
      <c r="DM834" s="86"/>
      <c r="DN834" s="84"/>
      <c r="DQ834" s="86"/>
      <c r="DR834" s="85"/>
      <c r="DS834" s="85"/>
      <c r="DT834" s="84"/>
      <c r="DV834" s="84"/>
      <c r="DW834" s="157"/>
      <c r="EB834" s="84"/>
      <c r="EG834" s="84"/>
      <c r="EK834" s="84"/>
      <c r="EO834" s="84"/>
      <c r="ES834" s="84"/>
      <c r="EW834" s="84"/>
    </row>
    <row r="835" customFormat="false" ht="12.75" hidden="false" customHeight="false" outlineLevel="0" collapsed="false">
      <c r="A835" s="37"/>
      <c r="E835" s="83"/>
      <c r="J835" s="84"/>
      <c r="N835" s="84"/>
      <c r="R835" s="84"/>
      <c r="V835" s="84"/>
      <c r="Z835" s="84"/>
      <c r="AD835" s="84"/>
      <c r="AH835" s="84"/>
      <c r="AL835" s="84"/>
      <c r="AP835" s="84"/>
      <c r="AT835" s="84"/>
      <c r="AX835" s="84"/>
      <c r="BB835" s="85"/>
      <c r="BC835" s="84"/>
      <c r="BD835" s="84"/>
      <c r="BF835" s="84"/>
      <c r="BL835" s="84"/>
      <c r="BP835" s="86"/>
      <c r="BV835" s="84"/>
      <c r="CA835" s="84"/>
      <c r="CF835" s="84"/>
      <c r="CK835" s="84"/>
      <c r="CP835" s="84"/>
      <c r="CS835" s="86"/>
      <c r="CT835" s="84"/>
      <c r="CW835" s="86"/>
      <c r="CX835" s="84"/>
      <c r="DA835" s="86"/>
      <c r="DB835" s="84"/>
      <c r="DE835" s="86"/>
      <c r="DF835" s="84"/>
      <c r="DI835" s="86"/>
      <c r="DJ835" s="84"/>
      <c r="DM835" s="86"/>
      <c r="DN835" s="84"/>
      <c r="DQ835" s="86"/>
      <c r="DR835" s="85"/>
      <c r="DS835" s="85"/>
      <c r="DT835" s="84"/>
      <c r="DV835" s="84"/>
      <c r="DW835" s="157"/>
      <c r="EB835" s="84"/>
      <c r="EG835" s="84"/>
      <c r="EK835" s="84"/>
      <c r="EO835" s="84"/>
      <c r="ES835" s="84"/>
      <c r="EW835" s="84"/>
    </row>
    <row r="836" customFormat="false" ht="12.75" hidden="false" customHeight="false" outlineLevel="0" collapsed="false">
      <c r="A836" s="37"/>
      <c r="E836" s="83"/>
      <c r="J836" s="84"/>
      <c r="N836" s="84"/>
      <c r="R836" s="84"/>
      <c r="V836" s="84"/>
      <c r="Z836" s="84"/>
      <c r="AD836" s="84"/>
      <c r="AH836" s="84"/>
      <c r="AL836" s="84"/>
      <c r="AP836" s="84"/>
      <c r="AT836" s="84"/>
      <c r="AX836" s="84"/>
      <c r="BB836" s="85"/>
      <c r="BC836" s="84"/>
      <c r="BD836" s="84"/>
      <c r="BF836" s="84"/>
      <c r="BL836" s="84"/>
      <c r="BP836" s="86"/>
      <c r="BV836" s="84"/>
      <c r="CA836" s="84"/>
      <c r="CF836" s="84"/>
      <c r="CK836" s="84"/>
      <c r="CP836" s="84"/>
      <c r="CS836" s="86"/>
      <c r="CT836" s="84"/>
      <c r="CW836" s="86"/>
      <c r="CX836" s="84"/>
      <c r="DA836" s="86"/>
      <c r="DB836" s="84"/>
      <c r="DE836" s="86"/>
      <c r="DF836" s="84"/>
      <c r="DI836" s="86"/>
      <c r="DJ836" s="84"/>
      <c r="DM836" s="86"/>
      <c r="DN836" s="84"/>
      <c r="DQ836" s="86"/>
      <c r="DR836" s="85"/>
      <c r="DS836" s="85"/>
      <c r="DT836" s="84"/>
      <c r="DV836" s="84"/>
      <c r="DW836" s="157"/>
      <c r="EB836" s="84"/>
      <c r="EG836" s="84"/>
      <c r="EK836" s="84"/>
      <c r="EO836" s="84"/>
      <c r="ES836" s="84"/>
      <c r="EW836" s="84"/>
    </row>
    <row r="837" customFormat="false" ht="12.75" hidden="false" customHeight="false" outlineLevel="0" collapsed="false">
      <c r="A837" s="37"/>
      <c r="E837" s="83"/>
      <c r="J837" s="84"/>
      <c r="N837" s="84"/>
      <c r="R837" s="84"/>
      <c r="V837" s="84"/>
      <c r="Z837" s="84"/>
      <c r="AD837" s="84"/>
      <c r="AH837" s="84"/>
      <c r="AL837" s="84"/>
      <c r="AP837" s="84"/>
      <c r="AT837" s="84"/>
      <c r="AX837" s="84"/>
      <c r="BB837" s="85"/>
      <c r="BC837" s="84"/>
      <c r="BD837" s="84"/>
      <c r="BF837" s="84"/>
      <c r="BL837" s="84"/>
      <c r="BP837" s="86"/>
      <c r="BV837" s="84"/>
      <c r="CA837" s="84"/>
      <c r="CF837" s="84"/>
      <c r="CK837" s="84"/>
      <c r="CP837" s="84"/>
      <c r="CS837" s="86"/>
      <c r="CT837" s="84"/>
      <c r="CW837" s="86"/>
      <c r="CX837" s="84"/>
      <c r="DA837" s="86"/>
      <c r="DB837" s="84"/>
      <c r="DE837" s="86"/>
      <c r="DF837" s="84"/>
      <c r="DI837" s="86"/>
      <c r="DJ837" s="84"/>
      <c r="DM837" s="86"/>
      <c r="DN837" s="84"/>
      <c r="DQ837" s="86"/>
      <c r="DR837" s="85"/>
      <c r="DS837" s="85"/>
      <c r="DT837" s="84"/>
      <c r="DV837" s="84"/>
      <c r="DW837" s="157"/>
      <c r="EB837" s="84"/>
      <c r="EG837" s="84"/>
      <c r="EK837" s="84"/>
      <c r="EO837" s="84"/>
      <c r="ES837" s="84"/>
      <c r="EW837" s="84"/>
    </row>
    <row r="838" customFormat="false" ht="12.75" hidden="false" customHeight="false" outlineLevel="0" collapsed="false">
      <c r="A838" s="37"/>
      <c r="E838" s="83"/>
      <c r="J838" s="84"/>
      <c r="N838" s="84"/>
      <c r="R838" s="84"/>
      <c r="V838" s="84"/>
      <c r="Z838" s="84"/>
      <c r="AD838" s="84"/>
      <c r="AH838" s="84"/>
      <c r="AL838" s="84"/>
      <c r="AP838" s="84"/>
      <c r="AT838" s="84"/>
      <c r="AX838" s="84"/>
      <c r="BB838" s="85"/>
      <c r="BC838" s="84"/>
      <c r="BD838" s="84"/>
      <c r="BF838" s="84"/>
      <c r="BL838" s="84"/>
      <c r="BP838" s="86"/>
      <c r="BV838" s="84"/>
      <c r="CA838" s="84"/>
      <c r="CF838" s="84"/>
      <c r="CK838" s="84"/>
      <c r="CP838" s="84"/>
      <c r="CS838" s="86"/>
      <c r="CT838" s="84"/>
      <c r="CW838" s="86"/>
      <c r="CX838" s="84"/>
      <c r="DA838" s="86"/>
      <c r="DB838" s="84"/>
      <c r="DE838" s="86"/>
      <c r="DF838" s="84"/>
      <c r="DI838" s="86"/>
      <c r="DJ838" s="84"/>
      <c r="DM838" s="86"/>
      <c r="DN838" s="84"/>
      <c r="DQ838" s="86"/>
      <c r="DR838" s="85"/>
      <c r="DS838" s="85"/>
      <c r="DT838" s="84"/>
      <c r="DV838" s="84"/>
      <c r="DW838" s="157"/>
      <c r="EB838" s="84"/>
      <c r="EG838" s="84"/>
      <c r="EK838" s="84"/>
      <c r="EO838" s="84"/>
      <c r="ES838" s="84"/>
      <c r="EW838" s="84"/>
    </row>
    <row r="839" customFormat="false" ht="12.75" hidden="false" customHeight="false" outlineLevel="0" collapsed="false">
      <c r="A839" s="37"/>
      <c r="E839" s="83"/>
      <c r="J839" s="84"/>
      <c r="N839" s="84"/>
      <c r="R839" s="84"/>
      <c r="V839" s="84"/>
      <c r="Z839" s="84"/>
      <c r="AD839" s="84"/>
      <c r="AH839" s="84"/>
      <c r="AL839" s="84"/>
      <c r="AP839" s="84"/>
      <c r="AT839" s="84"/>
      <c r="AX839" s="84"/>
      <c r="BB839" s="85"/>
      <c r="BC839" s="84"/>
      <c r="BD839" s="84"/>
      <c r="BF839" s="84"/>
      <c r="BL839" s="84"/>
      <c r="BP839" s="86"/>
      <c r="BV839" s="84"/>
      <c r="CA839" s="84"/>
      <c r="CF839" s="84"/>
      <c r="CK839" s="84"/>
      <c r="CP839" s="84"/>
      <c r="CS839" s="86"/>
      <c r="CT839" s="84"/>
      <c r="CW839" s="86"/>
      <c r="CX839" s="84"/>
      <c r="DA839" s="86"/>
      <c r="DB839" s="84"/>
      <c r="DE839" s="86"/>
      <c r="DF839" s="84"/>
      <c r="DI839" s="86"/>
      <c r="DJ839" s="84"/>
      <c r="DM839" s="86"/>
      <c r="DN839" s="84"/>
      <c r="DQ839" s="86"/>
      <c r="DR839" s="85"/>
      <c r="DS839" s="85"/>
      <c r="DT839" s="84"/>
      <c r="DV839" s="84"/>
      <c r="DW839" s="157"/>
      <c r="EB839" s="84"/>
      <c r="EG839" s="84"/>
      <c r="EK839" s="84"/>
      <c r="EO839" s="84"/>
      <c r="ES839" s="84"/>
      <c r="EW839" s="84"/>
    </row>
    <row r="840" customFormat="false" ht="12.75" hidden="false" customHeight="false" outlineLevel="0" collapsed="false">
      <c r="A840" s="37"/>
      <c r="E840" s="83"/>
      <c r="J840" s="84"/>
      <c r="N840" s="84"/>
      <c r="R840" s="84"/>
      <c r="V840" s="84"/>
      <c r="Z840" s="84"/>
      <c r="AD840" s="84"/>
      <c r="AH840" s="84"/>
      <c r="AL840" s="84"/>
      <c r="AP840" s="84"/>
      <c r="AT840" s="84"/>
      <c r="AX840" s="84"/>
      <c r="BB840" s="85"/>
      <c r="BC840" s="84"/>
      <c r="BD840" s="84"/>
      <c r="BF840" s="84"/>
      <c r="BL840" s="84"/>
      <c r="BP840" s="86"/>
      <c r="BV840" s="84"/>
      <c r="CA840" s="84"/>
      <c r="CF840" s="84"/>
      <c r="CK840" s="84"/>
      <c r="CP840" s="84"/>
      <c r="CS840" s="86"/>
      <c r="CT840" s="84"/>
      <c r="CW840" s="86"/>
      <c r="CX840" s="84"/>
      <c r="DA840" s="86"/>
      <c r="DB840" s="84"/>
      <c r="DE840" s="86"/>
      <c r="DF840" s="84"/>
      <c r="DI840" s="86"/>
      <c r="DJ840" s="84"/>
      <c r="DM840" s="86"/>
      <c r="DN840" s="84"/>
      <c r="DQ840" s="86"/>
      <c r="DR840" s="85"/>
      <c r="DS840" s="85"/>
      <c r="DT840" s="84"/>
      <c r="DV840" s="84"/>
      <c r="DW840" s="157"/>
      <c r="EB840" s="84"/>
      <c r="EG840" s="84"/>
      <c r="EK840" s="84"/>
      <c r="EO840" s="84"/>
      <c r="ES840" s="84"/>
      <c r="EW840" s="84"/>
    </row>
    <row r="841" customFormat="false" ht="12.75" hidden="false" customHeight="false" outlineLevel="0" collapsed="false">
      <c r="A841" s="37"/>
      <c r="E841" s="83"/>
      <c r="J841" s="84"/>
      <c r="N841" s="84"/>
      <c r="R841" s="84"/>
      <c r="V841" s="84"/>
      <c r="Z841" s="84"/>
      <c r="AD841" s="84"/>
      <c r="AH841" s="84"/>
      <c r="AL841" s="84"/>
      <c r="AP841" s="84"/>
      <c r="AT841" s="84"/>
      <c r="AX841" s="84"/>
      <c r="BB841" s="85"/>
      <c r="BC841" s="84"/>
      <c r="BD841" s="84"/>
      <c r="BF841" s="84"/>
      <c r="BL841" s="84"/>
      <c r="BP841" s="86"/>
      <c r="BV841" s="84"/>
      <c r="CA841" s="84"/>
      <c r="CF841" s="84"/>
      <c r="CK841" s="84"/>
      <c r="CP841" s="84"/>
      <c r="CS841" s="86"/>
      <c r="CT841" s="84"/>
      <c r="CW841" s="86"/>
      <c r="CX841" s="84"/>
      <c r="DA841" s="86"/>
      <c r="DB841" s="84"/>
      <c r="DE841" s="86"/>
      <c r="DF841" s="84"/>
      <c r="DI841" s="86"/>
      <c r="DJ841" s="84"/>
      <c r="DM841" s="86"/>
      <c r="DN841" s="84"/>
      <c r="DQ841" s="86"/>
      <c r="DR841" s="85"/>
      <c r="DS841" s="85"/>
      <c r="DT841" s="84"/>
      <c r="DV841" s="84"/>
      <c r="DW841" s="157"/>
      <c r="EB841" s="84"/>
      <c r="EG841" s="84"/>
      <c r="EK841" s="84"/>
      <c r="EO841" s="84"/>
      <c r="ES841" s="84"/>
      <c r="EW841" s="84"/>
    </row>
    <row r="842" customFormat="false" ht="12.75" hidden="false" customHeight="false" outlineLevel="0" collapsed="false">
      <c r="A842" s="37"/>
      <c r="E842" s="83"/>
      <c r="J842" s="84"/>
      <c r="N842" s="84"/>
      <c r="R842" s="84"/>
      <c r="V842" s="84"/>
      <c r="Z842" s="84"/>
      <c r="AD842" s="84"/>
      <c r="AH842" s="84"/>
      <c r="AL842" s="84"/>
      <c r="AP842" s="84"/>
      <c r="AT842" s="84"/>
      <c r="AX842" s="84"/>
      <c r="BB842" s="85"/>
      <c r="BC842" s="84"/>
      <c r="BD842" s="84"/>
      <c r="BF842" s="84"/>
      <c r="BL842" s="84"/>
      <c r="BP842" s="86"/>
      <c r="BV842" s="84"/>
      <c r="CA842" s="84"/>
      <c r="CF842" s="84"/>
      <c r="CK842" s="84"/>
      <c r="CP842" s="84"/>
      <c r="CS842" s="86"/>
      <c r="CT842" s="84"/>
      <c r="CW842" s="86"/>
      <c r="CX842" s="84"/>
      <c r="DA842" s="86"/>
      <c r="DB842" s="84"/>
      <c r="DE842" s="86"/>
      <c r="DF842" s="84"/>
      <c r="DI842" s="86"/>
      <c r="DJ842" s="84"/>
      <c r="DM842" s="86"/>
      <c r="DN842" s="84"/>
      <c r="DQ842" s="86"/>
      <c r="DR842" s="85"/>
      <c r="DS842" s="85"/>
      <c r="DT842" s="84"/>
      <c r="DV842" s="84"/>
      <c r="DW842" s="157"/>
      <c r="EB842" s="84"/>
      <c r="EG842" s="84"/>
      <c r="EK842" s="84"/>
      <c r="EO842" s="84"/>
      <c r="ES842" s="84"/>
      <c r="EW842" s="84"/>
    </row>
    <row r="843" customFormat="false" ht="12.75" hidden="false" customHeight="false" outlineLevel="0" collapsed="false">
      <c r="A843" s="37"/>
      <c r="E843" s="83"/>
      <c r="J843" s="84"/>
      <c r="N843" s="84"/>
      <c r="R843" s="84"/>
      <c r="V843" s="84"/>
      <c r="Z843" s="84"/>
      <c r="AD843" s="84"/>
      <c r="AH843" s="84"/>
      <c r="AL843" s="84"/>
      <c r="AP843" s="84"/>
      <c r="AT843" s="84"/>
      <c r="AX843" s="84"/>
      <c r="BB843" s="85"/>
      <c r="BC843" s="84"/>
      <c r="BD843" s="84"/>
      <c r="BF843" s="84"/>
      <c r="BL843" s="84"/>
      <c r="BP843" s="86"/>
      <c r="BV843" s="84"/>
      <c r="CA843" s="84"/>
      <c r="CF843" s="84"/>
      <c r="CK843" s="84"/>
      <c r="CP843" s="84"/>
      <c r="CS843" s="86"/>
      <c r="CT843" s="84"/>
      <c r="CW843" s="86"/>
      <c r="CX843" s="84"/>
      <c r="DA843" s="86"/>
      <c r="DB843" s="84"/>
      <c r="DE843" s="86"/>
      <c r="DF843" s="84"/>
      <c r="DI843" s="86"/>
      <c r="DJ843" s="84"/>
      <c r="DM843" s="86"/>
      <c r="DN843" s="84"/>
      <c r="DQ843" s="86"/>
      <c r="DR843" s="85"/>
      <c r="DS843" s="85"/>
      <c r="DT843" s="84"/>
      <c r="DV843" s="84"/>
      <c r="DW843" s="157"/>
      <c r="EB843" s="84"/>
      <c r="EG843" s="84"/>
      <c r="EK843" s="84"/>
      <c r="EO843" s="84"/>
      <c r="ES843" s="84"/>
      <c r="EW843" s="84"/>
    </row>
    <row r="844" customFormat="false" ht="12.75" hidden="false" customHeight="false" outlineLevel="0" collapsed="false">
      <c r="A844" s="37"/>
      <c r="E844" s="83"/>
      <c r="J844" s="84"/>
      <c r="N844" s="84"/>
      <c r="R844" s="84"/>
      <c r="V844" s="84"/>
      <c r="Z844" s="84"/>
      <c r="AD844" s="84"/>
      <c r="AH844" s="84"/>
      <c r="AL844" s="84"/>
      <c r="AP844" s="84"/>
      <c r="AT844" s="84"/>
      <c r="AX844" s="84"/>
      <c r="BB844" s="85"/>
      <c r="BC844" s="84"/>
      <c r="BD844" s="84"/>
      <c r="BF844" s="84"/>
      <c r="BL844" s="84"/>
      <c r="BP844" s="86"/>
      <c r="BV844" s="84"/>
      <c r="CA844" s="84"/>
      <c r="CF844" s="84"/>
      <c r="CK844" s="84"/>
      <c r="CP844" s="84"/>
      <c r="CS844" s="86"/>
      <c r="CT844" s="84"/>
      <c r="CW844" s="86"/>
      <c r="CX844" s="84"/>
      <c r="DA844" s="86"/>
      <c r="DB844" s="84"/>
      <c r="DE844" s="86"/>
      <c r="DF844" s="84"/>
      <c r="DI844" s="86"/>
      <c r="DJ844" s="84"/>
      <c r="DM844" s="86"/>
      <c r="DN844" s="84"/>
      <c r="DQ844" s="86"/>
      <c r="DR844" s="85"/>
      <c r="DS844" s="85"/>
      <c r="DT844" s="84"/>
      <c r="DV844" s="84"/>
      <c r="DW844" s="157"/>
      <c r="EB844" s="84"/>
      <c r="EG844" s="84"/>
      <c r="EK844" s="84"/>
      <c r="EO844" s="84"/>
      <c r="ES844" s="84"/>
      <c r="EW844" s="84"/>
    </row>
    <row r="845" customFormat="false" ht="12.75" hidden="false" customHeight="false" outlineLevel="0" collapsed="false">
      <c r="A845" s="37"/>
      <c r="E845" s="83"/>
      <c r="J845" s="84"/>
      <c r="N845" s="84"/>
      <c r="R845" s="84"/>
      <c r="V845" s="84"/>
      <c r="Z845" s="84"/>
      <c r="AD845" s="84"/>
      <c r="AH845" s="84"/>
      <c r="AL845" s="84"/>
      <c r="AP845" s="84"/>
      <c r="AT845" s="84"/>
      <c r="AX845" s="84"/>
      <c r="BB845" s="85"/>
      <c r="BC845" s="84"/>
      <c r="BD845" s="84"/>
      <c r="BF845" s="84"/>
      <c r="BL845" s="84"/>
      <c r="BP845" s="86"/>
      <c r="BV845" s="84"/>
      <c r="CA845" s="84"/>
      <c r="CF845" s="84"/>
      <c r="CK845" s="84"/>
      <c r="CP845" s="84"/>
      <c r="CS845" s="86"/>
      <c r="CT845" s="84"/>
      <c r="CW845" s="86"/>
      <c r="CX845" s="84"/>
      <c r="DA845" s="86"/>
      <c r="DB845" s="84"/>
      <c r="DE845" s="86"/>
      <c r="DF845" s="84"/>
      <c r="DI845" s="86"/>
      <c r="DJ845" s="84"/>
      <c r="DM845" s="86"/>
      <c r="DN845" s="84"/>
      <c r="DQ845" s="86"/>
      <c r="DR845" s="85"/>
      <c r="DS845" s="85"/>
      <c r="DT845" s="84"/>
      <c r="DV845" s="84"/>
      <c r="DW845" s="157"/>
      <c r="EB845" s="84"/>
      <c r="EG845" s="84"/>
      <c r="EK845" s="84"/>
      <c r="EO845" s="84"/>
      <c r="ES845" s="84"/>
      <c r="EW845" s="84"/>
    </row>
    <row r="846" customFormat="false" ht="12.75" hidden="false" customHeight="false" outlineLevel="0" collapsed="false">
      <c r="A846" s="37"/>
      <c r="E846" s="83"/>
      <c r="J846" s="84"/>
      <c r="N846" s="84"/>
      <c r="R846" s="84"/>
      <c r="V846" s="84"/>
      <c r="Z846" s="84"/>
      <c r="AD846" s="84"/>
      <c r="AH846" s="84"/>
      <c r="AL846" s="84"/>
      <c r="AP846" s="84"/>
      <c r="AT846" s="84"/>
      <c r="AX846" s="84"/>
      <c r="BB846" s="85"/>
      <c r="BC846" s="84"/>
      <c r="BD846" s="84"/>
      <c r="BF846" s="84"/>
      <c r="BL846" s="84"/>
      <c r="BP846" s="86"/>
      <c r="BV846" s="84"/>
      <c r="CA846" s="84"/>
      <c r="CF846" s="84"/>
      <c r="CK846" s="84"/>
      <c r="CP846" s="84"/>
      <c r="CS846" s="86"/>
      <c r="CT846" s="84"/>
      <c r="CW846" s="86"/>
      <c r="CX846" s="84"/>
      <c r="DA846" s="86"/>
      <c r="DB846" s="84"/>
      <c r="DE846" s="86"/>
      <c r="DF846" s="84"/>
      <c r="DI846" s="86"/>
      <c r="DJ846" s="84"/>
      <c r="DM846" s="86"/>
      <c r="DN846" s="84"/>
      <c r="DQ846" s="86"/>
      <c r="DR846" s="85"/>
      <c r="DS846" s="85"/>
      <c r="DT846" s="84"/>
      <c r="DV846" s="84"/>
      <c r="DW846" s="157"/>
      <c r="EB846" s="84"/>
      <c r="EG846" s="84"/>
      <c r="EK846" s="84"/>
      <c r="EO846" s="84"/>
      <c r="ES846" s="84"/>
      <c r="EW846" s="84"/>
    </row>
    <row r="847" customFormat="false" ht="12.75" hidden="false" customHeight="false" outlineLevel="0" collapsed="false">
      <c r="A847" s="37"/>
      <c r="E847" s="83"/>
      <c r="J847" s="84"/>
      <c r="N847" s="84"/>
      <c r="R847" s="84"/>
      <c r="V847" s="84"/>
      <c r="Z847" s="84"/>
      <c r="AD847" s="84"/>
      <c r="AH847" s="84"/>
      <c r="AL847" s="84"/>
      <c r="AP847" s="84"/>
      <c r="AT847" s="84"/>
      <c r="AX847" s="84"/>
      <c r="BB847" s="85"/>
      <c r="BC847" s="84"/>
      <c r="BD847" s="84"/>
      <c r="BF847" s="84"/>
      <c r="BL847" s="84"/>
      <c r="BP847" s="86"/>
      <c r="BV847" s="84"/>
      <c r="CA847" s="84"/>
      <c r="CF847" s="84"/>
      <c r="CK847" s="84"/>
      <c r="CP847" s="84"/>
      <c r="CS847" s="86"/>
      <c r="CT847" s="84"/>
      <c r="CW847" s="86"/>
      <c r="CX847" s="84"/>
      <c r="DA847" s="86"/>
      <c r="DB847" s="84"/>
      <c r="DE847" s="86"/>
      <c r="DF847" s="84"/>
      <c r="DI847" s="86"/>
      <c r="DJ847" s="84"/>
      <c r="DM847" s="86"/>
      <c r="DN847" s="84"/>
      <c r="DQ847" s="86"/>
      <c r="DR847" s="85"/>
      <c r="DS847" s="85"/>
      <c r="DT847" s="84"/>
      <c r="DV847" s="84"/>
      <c r="DW847" s="157"/>
      <c r="EB847" s="84"/>
      <c r="EG847" s="84"/>
      <c r="EK847" s="84"/>
      <c r="EO847" s="84"/>
      <c r="ES847" s="84"/>
      <c r="EW847" s="84"/>
    </row>
    <row r="848" customFormat="false" ht="12.75" hidden="false" customHeight="false" outlineLevel="0" collapsed="false">
      <c r="A848" s="37"/>
      <c r="E848" s="83"/>
      <c r="J848" s="84"/>
      <c r="N848" s="84"/>
      <c r="R848" s="84"/>
      <c r="V848" s="84"/>
      <c r="Z848" s="84"/>
      <c r="AD848" s="84"/>
      <c r="AH848" s="84"/>
      <c r="AL848" s="84"/>
      <c r="AP848" s="84"/>
      <c r="AT848" s="84"/>
      <c r="AX848" s="84"/>
      <c r="BB848" s="85"/>
      <c r="BC848" s="84"/>
      <c r="BD848" s="84"/>
      <c r="BF848" s="84"/>
      <c r="BL848" s="84"/>
      <c r="BP848" s="86"/>
      <c r="BV848" s="84"/>
      <c r="CA848" s="84"/>
      <c r="CF848" s="84"/>
      <c r="CK848" s="84"/>
      <c r="CP848" s="84"/>
      <c r="CS848" s="86"/>
      <c r="CT848" s="84"/>
      <c r="CW848" s="86"/>
      <c r="CX848" s="84"/>
      <c r="DA848" s="86"/>
      <c r="DB848" s="84"/>
      <c r="DE848" s="86"/>
      <c r="DF848" s="84"/>
      <c r="DI848" s="86"/>
      <c r="DJ848" s="84"/>
      <c r="DM848" s="86"/>
      <c r="DN848" s="84"/>
      <c r="DQ848" s="86"/>
      <c r="DR848" s="85"/>
      <c r="DS848" s="85"/>
      <c r="DT848" s="84"/>
      <c r="DV848" s="84"/>
      <c r="DW848" s="157"/>
      <c r="EB848" s="84"/>
      <c r="EG848" s="84"/>
      <c r="EK848" s="84"/>
      <c r="EO848" s="84"/>
      <c r="ES848" s="84"/>
      <c r="EW848" s="84"/>
    </row>
    <row r="849" customFormat="false" ht="12.75" hidden="false" customHeight="false" outlineLevel="0" collapsed="false">
      <c r="A849" s="37"/>
      <c r="E849" s="83"/>
      <c r="J849" s="84"/>
      <c r="N849" s="84"/>
      <c r="R849" s="84"/>
      <c r="V849" s="84"/>
      <c r="Z849" s="84"/>
      <c r="AD849" s="84"/>
      <c r="AH849" s="84"/>
      <c r="AL849" s="84"/>
      <c r="AP849" s="84"/>
      <c r="AT849" s="84"/>
      <c r="AX849" s="84"/>
      <c r="BB849" s="85"/>
      <c r="BC849" s="84"/>
      <c r="BD849" s="84"/>
      <c r="BF849" s="84"/>
      <c r="BL849" s="84"/>
      <c r="BP849" s="86"/>
      <c r="BV849" s="84"/>
      <c r="CA849" s="84"/>
      <c r="CF849" s="84"/>
      <c r="CK849" s="84"/>
      <c r="CP849" s="84"/>
      <c r="CS849" s="86"/>
      <c r="CT849" s="84"/>
      <c r="CW849" s="86"/>
      <c r="CX849" s="84"/>
      <c r="DA849" s="86"/>
      <c r="DB849" s="84"/>
      <c r="DE849" s="86"/>
      <c r="DF849" s="84"/>
      <c r="DI849" s="86"/>
      <c r="DJ849" s="84"/>
      <c r="DM849" s="86"/>
      <c r="DN849" s="84"/>
      <c r="DQ849" s="86"/>
      <c r="DR849" s="85"/>
      <c r="DS849" s="85"/>
      <c r="DT849" s="84"/>
      <c r="DV849" s="84"/>
      <c r="DW849" s="157"/>
      <c r="EB849" s="84"/>
      <c r="EG849" s="84"/>
      <c r="EK849" s="84"/>
      <c r="EO849" s="84"/>
      <c r="ES849" s="84"/>
      <c r="EW849" s="84"/>
    </row>
    <row r="850" customFormat="false" ht="12.75" hidden="false" customHeight="false" outlineLevel="0" collapsed="false">
      <c r="A850" s="37"/>
      <c r="E850" s="83"/>
      <c r="J850" s="84"/>
      <c r="N850" s="84"/>
      <c r="R850" s="84"/>
      <c r="V850" s="84"/>
      <c r="Z850" s="84"/>
      <c r="AD850" s="84"/>
      <c r="AH850" s="84"/>
      <c r="AL850" s="84"/>
      <c r="AP850" s="84"/>
      <c r="AT850" s="84"/>
      <c r="AX850" s="84"/>
      <c r="BB850" s="85"/>
      <c r="BC850" s="84"/>
      <c r="BD850" s="84"/>
      <c r="BF850" s="84"/>
      <c r="BL850" s="84"/>
      <c r="BP850" s="86"/>
      <c r="BV850" s="84"/>
      <c r="CA850" s="84"/>
      <c r="CF850" s="84"/>
      <c r="CK850" s="84"/>
      <c r="CP850" s="84"/>
      <c r="CS850" s="86"/>
      <c r="CT850" s="84"/>
      <c r="CW850" s="86"/>
      <c r="CX850" s="84"/>
      <c r="DA850" s="86"/>
      <c r="DB850" s="84"/>
      <c r="DE850" s="86"/>
      <c r="DF850" s="84"/>
      <c r="DI850" s="86"/>
      <c r="DJ850" s="84"/>
      <c r="DM850" s="86"/>
      <c r="DN850" s="84"/>
      <c r="DQ850" s="86"/>
      <c r="DR850" s="85"/>
      <c r="DS850" s="85"/>
      <c r="DT850" s="84"/>
      <c r="DV850" s="84"/>
      <c r="DW850" s="157"/>
      <c r="EB850" s="84"/>
      <c r="EG850" s="84"/>
      <c r="EK850" s="84"/>
      <c r="EO850" s="84"/>
      <c r="ES850" s="84"/>
      <c r="EW850" s="84"/>
    </row>
    <row r="851" customFormat="false" ht="12.75" hidden="false" customHeight="false" outlineLevel="0" collapsed="false">
      <c r="A851" s="37"/>
      <c r="E851" s="83"/>
      <c r="J851" s="84"/>
      <c r="N851" s="84"/>
      <c r="R851" s="84"/>
      <c r="V851" s="84"/>
      <c r="Z851" s="84"/>
      <c r="AD851" s="84"/>
      <c r="AH851" s="84"/>
      <c r="AL851" s="84"/>
      <c r="AP851" s="84"/>
      <c r="AT851" s="84"/>
      <c r="AX851" s="84"/>
      <c r="BB851" s="85"/>
      <c r="BC851" s="84"/>
      <c r="BD851" s="84"/>
      <c r="BF851" s="84"/>
      <c r="BL851" s="84"/>
      <c r="BP851" s="86"/>
      <c r="BV851" s="84"/>
      <c r="CA851" s="84"/>
      <c r="CF851" s="84"/>
      <c r="CK851" s="84"/>
      <c r="CP851" s="84"/>
      <c r="CS851" s="86"/>
      <c r="CT851" s="84"/>
      <c r="CW851" s="86"/>
      <c r="CX851" s="84"/>
      <c r="DA851" s="86"/>
      <c r="DB851" s="84"/>
      <c r="DE851" s="86"/>
      <c r="DF851" s="84"/>
      <c r="DI851" s="86"/>
      <c r="DJ851" s="84"/>
      <c r="DM851" s="86"/>
      <c r="DN851" s="84"/>
      <c r="DQ851" s="86"/>
      <c r="DR851" s="85"/>
      <c r="DS851" s="85"/>
      <c r="DT851" s="84"/>
      <c r="DV851" s="84"/>
      <c r="DW851" s="157"/>
      <c r="EB851" s="84"/>
      <c r="EG851" s="84"/>
      <c r="EK851" s="84"/>
      <c r="EO851" s="84"/>
      <c r="ES851" s="84"/>
      <c r="EW851" s="84"/>
    </row>
    <row r="852" customFormat="false" ht="12.75" hidden="false" customHeight="false" outlineLevel="0" collapsed="false">
      <c r="A852" s="37"/>
      <c r="E852" s="83"/>
      <c r="J852" s="84"/>
      <c r="N852" s="84"/>
      <c r="R852" s="84"/>
      <c r="V852" s="84"/>
      <c r="Z852" s="84"/>
      <c r="AD852" s="84"/>
      <c r="AH852" s="84"/>
      <c r="AL852" s="84"/>
      <c r="AP852" s="84"/>
      <c r="AT852" s="84"/>
      <c r="AX852" s="84"/>
      <c r="BB852" s="85"/>
      <c r="BC852" s="84"/>
      <c r="BD852" s="84"/>
      <c r="BF852" s="84"/>
      <c r="BL852" s="84"/>
      <c r="BP852" s="86"/>
      <c r="BV852" s="84"/>
      <c r="CA852" s="84"/>
      <c r="CF852" s="84"/>
      <c r="CK852" s="84"/>
      <c r="CP852" s="84"/>
      <c r="CS852" s="86"/>
      <c r="CT852" s="84"/>
      <c r="CW852" s="86"/>
      <c r="CX852" s="84"/>
      <c r="DA852" s="86"/>
      <c r="DB852" s="84"/>
      <c r="DE852" s="86"/>
      <c r="DF852" s="84"/>
      <c r="DI852" s="86"/>
      <c r="DJ852" s="84"/>
      <c r="DM852" s="86"/>
      <c r="DN852" s="84"/>
      <c r="DQ852" s="86"/>
      <c r="DR852" s="85"/>
      <c r="DS852" s="85"/>
      <c r="DT852" s="84"/>
      <c r="DV852" s="84"/>
      <c r="DW852" s="157"/>
      <c r="EB852" s="84"/>
      <c r="EG852" s="84"/>
      <c r="EK852" s="84"/>
      <c r="EO852" s="84"/>
      <c r="ES852" s="84"/>
      <c r="EW852" s="84"/>
    </row>
    <row r="853" customFormat="false" ht="12.75" hidden="false" customHeight="false" outlineLevel="0" collapsed="false">
      <c r="A853" s="37"/>
      <c r="E853" s="83"/>
      <c r="J853" s="84"/>
      <c r="N853" s="84"/>
      <c r="R853" s="84"/>
      <c r="V853" s="84"/>
      <c r="Z853" s="84"/>
      <c r="AD853" s="84"/>
      <c r="AH853" s="84"/>
      <c r="AL853" s="84"/>
      <c r="AP853" s="84"/>
      <c r="AT853" s="84"/>
      <c r="AX853" s="84"/>
      <c r="BB853" s="85"/>
      <c r="BC853" s="84"/>
      <c r="BD853" s="84"/>
      <c r="BF853" s="84"/>
      <c r="BL853" s="84"/>
      <c r="BP853" s="86"/>
      <c r="BV853" s="84"/>
      <c r="CA853" s="84"/>
      <c r="CF853" s="84"/>
      <c r="CK853" s="84"/>
      <c r="CP853" s="84"/>
      <c r="CS853" s="86"/>
      <c r="CT853" s="84"/>
      <c r="CW853" s="86"/>
      <c r="CX853" s="84"/>
      <c r="DA853" s="86"/>
      <c r="DB853" s="84"/>
      <c r="DE853" s="86"/>
      <c r="DF853" s="84"/>
      <c r="DI853" s="86"/>
      <c r="DJ853" s="84"/>
      <c r="DM853" s="86"/>
      <c r="DN853" s="84"/>
      <c r="DQ853" s="86"/>
      <c r="DR853" s="85"/>
      <c r="DS853" s="85"/>
      <c r="DT853" s="84"/>
      <c r="DV853" s="84"/>
      <c r="DW853" s="157"/>
      <c r="EB853" s="84"/>
      <c r="EG853" s="84"/>
      <c r="EK853" s="84"/>
      <c r="EO853" s="84"/>
      <c r="ES853" s="84"/>
      <c r="EW853" s="84"/>
    </row>
    <row r="854" customFormat="false" ht="12.75" hidden="false" customHeight="false" outlineLevel="0" collapsed="false">
      <c r="A854" s="37"/>
      <c r="E854" s="83"/>
      <c r="J854" s="84"/>
      <c r="N854" s="84"/>
      <c r="R854" s="84"/>
      <c r="V854" s="84"/>
      <c r="Z854" s="84"/>
      <c r="AD854" s="84"/>
      <c r="AH854" s="84"/>
      <c r="AL854" s="84"/>
      <c r="AP854" s="84"/>
      <c r="AT854" s="84"/>
      <c r="AX854" s="84"/>
      <c r="BB854" s="85"/>
      <c r="BC854" s="84"/>
      <c r="BD854" s="84"/>
      <c r="BF854" s="84"/>
      <c r="BL854" s="84"/>
      <c r="BP854" s="86"/>
      <c r="BV854" s="84"/>
      <c r="CA854" s="84"/>
      <c r="CF854" s="84"/>
      <c r="CK854" s="84"/>
      <c r="CP854" s="84"/>
      <c r="CS854" s="86"/>
      <c r="CT854" s="84"/>
      <c r="CW854" s="86"/>
      <c r="CX854" s="84"/>
      <c r="DA854" s="86"/>
      <c r="DB854" s="84"/>
      <c r="DE854" s="86"/>
      <c r="DF854" s="84"/>
      <c r="DI854" s="86"/>
      <c r="DJ854" s="84"/>
      <c r="DM854" s="86"/>
      <c r="DN854" s="84"/>
      <c r="DQ854" s="86"/>
      <c r="DR854" s="85"/>
      <c r="DS854" s="85"/>
      <c r="DT854" s="84"/>
      <c r="DV854" s="84"/>
      <c r="DW854" s="157"/>
      <c r="EB854" s="84"/>
      <c r="EG854" s="84"/>
      <c r="EK854" s="84"/>
      <c r="EO854" s="84"/>
      <c r="ES854" s="84"/>
      <c r="EW854" s="84"/>
    </row>
    <row r="855" customFormat="false" ht="12.75" hidden="false" customHeight="false" outlineLevel="0" collapsed="false">
      <c r="A855" s="37"/>
      <c r="E855" s="83"/>
      <c r="J855" s="84"/>
      <c r="N855" s="84"/>
      <c r="R855" s="84"/>
      <c r="V855" s="84"/>
      <c r="Z855" s="84"/>
      <c r="AD855" s="84"/>
      <c r="AH855" s="84"/>
      <c r="AL855" s="84"/>
      <c r="AP855" s="84"/>
      <c r="AT855" s="84"/>
      <c r="AX855" s="84"/>
      <c r="BB855" s="85"/>
      <c r="BC855" s="84"/>
      <c r="BD855" s="84"/>
      <c r="BF855" s="84"/>
      <c r="BL855" s="84"/>
      <c r="BP855" s="86"/>
      <c r="BV855" s="84"/>
      <c r="CA855" s="84"/>
      <c r="CF855" s="84"/>
      <c r="CK855" s="84"/>
      <c r="CP855" s="84"/>
      <c r="CS855" s="86"/>
      <c r="CT855" s="84"/>
      <c r="CW855" s="86"/>
      <c r="CX855" s="84"/>
      <c r="DA855" s="86"/>
      <c r="DB855" s="84"/>
      <c r="DE855" s="86"/>
      <c r="DF855" s="84"/>
      <c r="DI855" s="86"/>
      <c r="DJ855" s="84"/>
      <c r="DM855" s="86"/>
      <c r="DN855" s="84"/>
      <c r="DQ855" s="86"/>
      <c r="DR855" s="85"/>
      <c r="DS855" s="85"/>
      <c r="DT855" s="84"/>
      <c r="DV855" s="84"/>
      <c r="DW855" s="157"/>
      <c r="EB855" s="84"/>
      <c r="EG855" s="84"/>
      <c r="EK855" s="84"/>
      <c r="EO855" s="84"/>
      <c r="ES855" s="84"/>
      <c r="EW855" s="84"/>
    </row>
    <row r="856" customFormat="false" ht="12.75" hidden="false" customHeight="false" outlineLevel="0" collapsed="false">
      <c r="A856" s="37"/>
      <c r="E856" s="83"/>
      <c r="J856" s="84"/>
      <c r="N856" s="84"/>
      <c r="R856" s="84"/>
      <c r="V856" s="84"/>
      <c r="Z856" s="84"/>
      <c r="AD856" s="84"/>
      <c r="AH856" s="84"/>
      <c r="AL856" s="84"/>
      <c r="AP856" s="84"/>
      <c r="AT856" s="84"/>
      <c r="AX856" s="84"/>
      <c r="BB856" s="85"/>
      <c r="BC856" s="84"/>
      <c r="BD856" s="84"/>
      <c r="BF856" s="84"/>
      <c r="BL856" s="84"/>
      <c r="BP856" s="86"/>
      <c r="BV856" s="84"/>
      <c r="CA856" s="84"/>
      <c r="CF856" s="84"/>
      <c r="CK856" s="84"/>
      <c r="CP856" s="84"/>
      <c r="CS856" s="86"/>
      <c r="CT856" s="84"/>
      <c r="CW856" s="86"/>
      <c r="CX856" s="84"/>
      <c r="DA856" s="86"/>
      <c r="DB856" s="84"/>
      <c r="DE856" s="86"/>
      <c r="DF856" s="84"/>
      <c r="DI856" s="86"/>
      <c r="DJ856" s="84"/>
      <c r="DM856" s="86"/>
      <c r="DN856" s="84"/>
      <c r="DQ856" s="86"/>
      <c r="DR856" s="85"/>
      <c r="DS856" s="85"/>
      <c r="DT856" s="84"/>
      <c r="DV856" s="84"/>
      <c r="DW856" s="157"/>
      <c r="EB856" s="84"/>
      <c r="EG856" s="84"/>
      <c r="EK856" s="84"/>
      <c r="EO856" s="84"/>
      <c r="ES856" s="84"/>
      <c r="EW856" s="84"/>
    </row>
    <row r="857" customFormat="false" ht="12.75" hidden="false" customHeight="false" outlineLevel="0" collapsed="false">
      <c r="A857" s="37"/>
      <c r="E857" s="83"/>
      <c r="J857" s="84"/>
      <c r="N857" s="84"/>
      <c r="R857" s="84"/>
      <c r="V857" s="84"/>
      <c r="Z857" s="84"/>
      <c r="AD857" s="84"/>
      <c r="AH857" s="84"/>
      <c r="AL857" s="84"/>
      <c r="AP857" s="84"/>
      <c r="AT857" s="84"/>
      <c r="AX857" s="84"/>
      <c r="BB857" s="85"/>
      <c r="BC857" s="84"/>
      <c r="BD857" s="84"/>
      <c r="BF857" s="84"/>
      <c r="BL857" s="84"/>
      <c r="BP857" s="86"/>
      <c r="BV857" s="84"/>
      <c r="CA857" s="84"/>
      <c r="CF857" s="84"/>
      <c r="CK857" s="84"/>
      <c r="CP857" s="84"/>
      <c r="CS857" s="86"/>
      <c r="CT857" s="84"/>
      <c r="CW857" s="86"/>
      <c r="CX857" s="84"/>
      <c r="DA857" s="86"/>
      <c r="DB857" s="84"/>
      <c r="DE857" s="86"/>
      <c r="DF857" s="84"/>
      <c r="DI857" s="86"/>
      <c r="DJ857" s="84"/>
      <c r="DM857" s="86"/>
      <c r="DN857" s="84"/>
      <c r="DQ857" s="86"/>
      <c r="DR857" s="85"/>
      <c r="DS857" s="85"/>
      <c r="DT857" s="84"/>
      <c r="DV857" s="84"/>
      <c r="DW857" s="157"/>
      <c r="EB857" s="84"/>
      <c r="EG857" s="84"/>
      <c r="EK857" s="84"/>
      <c r="EO857" s="84"/>
      <c r="ES857" s="84"/>
      <c r="EW857" s="84"/>
    </row>
    <row r="858" customFormat="false" ht="12.75" hidden="false" customHeight="false" outlineLevel="0" collapsed="false">
      <c r="A858" s="37"/>
      <c r="E858" s="83"/>
      <c r="J858" s="84"/>
      <c r="N858" s="84"/>
      <c r="R858" s="84"/>
      <c r="V858" s="84"/>
      <c r="Z858" s="84"/>
      <c r="AD858" s="84"/>
      <c r="AH858" s="84"/>
      <c r="AL858" s="84"/>
      <c r="AP858" s="84"/>
      <c r="AT858" s="84"/>
      <c r="AX858" s="84"/>
      <c r="BB858" s="85"/>
      <c r="BC858" s="84"/>
      <c r="BD858" s="84"/>
      <c r="BF858" s="84"/>
      <c r="BL858" s="84"/>
      <c r="BP858" s="86"/>
      <c r="BV858" s="84"/>
      <c r="CA858" s="84"/>
      <c r="CF858" s="84"/>
      <c r="CK858" s="84"/>
      <c r="CP858" s="84"/>
      <c r="CS858" s="86"/>
      <c r="CT858" s="84"/>
      <c r="CW858" s="86"/>
      <c r="CX858" s="84"/>
      <c r="DA858" s="86"/>
      <c r="DB858" s="84"/>
      <c r="DE858" s="86"/>
      <c r="DF858" s="84"/>
      <c r="DI858" s="86"/>
      <c r="DJ858" s="84"/>
      <c r="DM858" s="86"/>
      <c r="DN858" s="84"/>
      <c r="DQ858" s="86"/>
      <c r="DR858" s="85"/>
      <c r="DS858" s="85"/>
      <c r="DT858" s="84"/>
      <c r="DV858" s="84"/>
      <c r="DW858" s="157"/>
      <c r="EB858" s="84"/>
      <c r="EG858" s="84"/>
      <c r="EK858" s="84"/>
      <c r="EO858" s="84"/>
      <c r="ES858" s="84"/>
      <c r="EW858" s="84"/>
    </row>
    <row r="859" customFormat="false" ht="12.75" hidden="false" customHeight="false" outlineLevel="0" collapsed="false">
      <c r="A859" s="37"/>
      <c r="E859" s="83"/>
      <c r="J859" s="84"/>
      <c r="N859" s="84"/>
      <c r="R859" s="84"/>
      <c r="V859" s="84"/>
      <c r="Z859" s="84"/>
      <c r="AD859" s="84"/>
      <c r="AH859" s="84"/>
      <c r="AL859" s="84"/>
      <c r="AP859" s="84"/>
      <c r="AT859" s="84"/>
      <c r="AX859" s="84"/>
      <c r="BB859" s="85"/>
      <c r="BC859" s="84"/>
      <c r="BD859" s="84"/>
      <c r="BF859" s="84"/>
      <c r="BL859" s="84"/>
      <c r="BP859" s="86"/>
      <c r="BV859" s="84"/>
      <c r="CA859" s="84"/>
      <c r="CF859" s="84"/>
      <c r="CK859" s="84"/>
      <c r="CP859" s="84"/>
      <c r="CS859" s="86"/>
      <c r="CT859" s="84"/>
      <c r="CW859" s="86"/>
      <c r="CX859" s="84"/>
      <c r="DA859" s="86"/>
      <c r="DB859" s="84"/>
      <c r="DE859" s="86"/>
      <c r="DF859" s="84"/>
      <c r="DI859" s="86"/>
      <c r="DJ859" s="84"/>
      <c r="DM859" s="86"/>
      <c r="DN859" s="84"/>
      <c r="DQ859" s="86"/>
      <c r="DR859" s="85"/>
      <c r="DS859" s="85"/>
      <c r="DT859" s="84"/>
      <c r="DV859" s="84"/>
      <c r="DW859" s="157"/>
      <c r="EB859" s="84"/>
      <c r="EG859" s="84"/>
      <c r="EK859" s="84"/>
      <c r="EO859" s="84"/>
      <c r="ES859" s="84"/>
      <c r="EW859" s="84"/>
    </row>
    <row r="860" customFormat="false" ht="12.75" hidden="false" customHeight="false" outlineLevel="0" collapsed="false">
      <c r="A860" s="37"/>
      <c r="E860" s="83"/>
      <c r="J860" s="84"/>
      <c r="N860" s="84"/>
      <c r="R860" s="84"/>
      <c r="V860" s="84"/>
      <c r="Z860" s="84"/>
      <c r="AD860" s="84"/>
      <c r="AH860" s="84"/>
      <c r="AL860" s="84"/>
      <c r="AP860" s="84"/>
      <c r="AT860" s="84"/>
      <c r="AX860" s="84"/>
      <c r="BB860" s="85"/>
      <c r="BC860" s="84"/>
      <c r="BD860" s="84"/>
      <c r="BF860" s="84"/>
      <c r="BL860" s="84"/>
      <c r="BP860" s="86"/>
      <c r="BV860" s="84"/>
      <c r="CA860" s="84"/>
      <c r="CF860" s="84"/>
      <c r="CK860" s="84"/>
      <c r="CP860" s="84"/>
      <c r="CS860" s="86"/>
      <c r="CT860" s="84"/>
      <c r="CW860" s="86"/>
      <c r="CX860" s="84"/>
      <c r="DA860" s="86"/>
      <c r="DB860" s="84"/>
      <c r="DE860" s="86"/>
      <c r="DF860" s="84"/>
      <c r="DI860" s="86"/>
      <c r="DJ860" s="84"/>
      <c r="DM860" s="86"/>
      <c r="DN860" s="84"/>
      <c r="DQ860" s="86"/>
      <c r="DR860" s="85"/>
      <c r="DS860" s="85"/>
      <c r="DT860" s="84"/>
      <c r="DV860" s="84"/>
      <c r="DW860" s="157"/>
      <c r="EB860" s="84"/>
      <c r="EG860" s="84"/>
      <c r="EK860" s="84"/>
      <c r="EO860" s="84"/>
      <c r="ES860" s="84"/>
      <c r="EW860" s="84"/>
    </row>
    <row r="861" customFormat="false" ht="12.75" hidden="false" customHeight="false" outlineLevel="0" collapsed="false">
      <c r="A861" s="37"/>
      <c r="E861" s="83"/>
      <c r="J861" s="84"/>
      <c r="N861" s="84"/>
      <c r="R861" s="84"/>
      <c r="V861" s="84"/>
      <c r="Z861" s="84"/>
      <c r="AD861" s="84"/>
      <c r="AH861" s="84"/>
      <c r="AL861" s="84"/>
      <c r="AP861" s="84"/>
      <c r="AT861" s="84"/>
      <c r="AX861" s="84"/>
      <c r="BB861" s="85"/>
      <c r="BC861" s="84"/>
      <c r="BD861" s="84"/>
      <c r="BF861" s="84"/>
      <c r="BL861" s="84"/>
      <c r="BP861" s="86"/>
      <c r="BV861" s="84"/>
      <c r="CA861" s="84"/>
      <c r="CF861" s="84"/>
      <c r="CK861" s="84"/>
      <c r="CP861" s="84"/>
      <c r="CS861" s="86"/>
      <c r="CT861" s="84"/>
      <c r="CW861" s="86"/>
      <c r="CX861" s="84"/>
      <c r="DA861" s="86"/>
      <c r="DB861" s="84"/>
      <c r="DE861" s="86"/>
      <c r="DF861" s="84"/>
      <c r="DI861" s="86"/>
      <c r="DJ861" s="84"/>
      <c r="DM861" s="86"/>
      <c r="DN861" s="84"/>
      <c r="DQ861" s="86"/>
      <c r="DR861" s="85"/>
      <c r="DS861" s="85"/>
      <c r="DT861" s="84"/>
      <c r="DV861" s="84"/>
      <c r="DW861" s="157"/>
      <c r="EB861" s="84"/>
      <c r="EG861" s="84"/>
      <c r="EK861" s="84"/>
      <c r="EO861" s="84"/>
      <c r="ES861" s="84"/>
      <c r="EW861" s="84"/>
    </row>
    <row r="862" customFormat="false" ht="12.75" hidden="false" customHeight="false" outlineLevel="0" collapsed="false">
      <c r="A862" s="37"/>
      <c r="E862" s="83"/>
      <c r="J862" s="84"/>
      <c r="N862" s="84"/>
      <c r="R862" s="84"/>
      <c r="V862" s="84"/>
      <c r="Z862" s="84"/>
      <c r="AD862" s="84"/>
      <c r="AH862" s="84"/>
      <c r="AL862" s="84"/>
      <c r="AP862" s="84"/>
      <c r="AT862" s="84"/>
      <c r="AX862" s="84"/>
      <c r="BB862" s="85"/>
      <c r="BC862" s="84"/>
      <c r="BD862" s="84"/>
      <c r="BF862" s="84"/>
      <c r="BL862" s="84"/>
      <c r="BP862" s="86"/>
      <c r="BV862" s="84"/>
      <c r="CA862" s="84"/>
      <c r="CF862" s="84"/>
      <c r="CK862" s="84"/>
      <c r="CP862" s="84"/>
      <c r="CS862" s="86"/>
      <c r="CT862" s="84"/>
      <c r="CW862" s="86"/>
      <c r="CX862" s="84"/>
      <c r="DA862" s="86"/>
      <c r="DB862" s="84"/>
      <c r="DE862" s="86"/>
      <c r="DF862" s="84"/>
      <c r="DI862" s="86"/>
      <c r="DJ862" s="84"/>
      <c r="DM862" s="86"/>
      <c r="DN862" s="84"/>
      <c r="DQ862" s="86"/>
      <c r="DR862" s="85"/>
      <c r="DS862" s="85"/>
      <c r="DT862" s="84"/>
      <c r="DV862" s="84"/>
      <c r="DW862" s="157"/>
      <c r="EB862" s="84"/>
      <c r="EG862" s="84"/>
      <c r="EK862" s="84"/>
      <c r="EO862" s="84"/>
      <c r="ES862" s="84"/>
      <c r="EW862" s="84"/>
    </row>
    <row r="863" customFormat="false" ht="12.75" hidden="false" customHeight="false" outlineLevel="0" collapsed="false">
      <c r="A863" s="37"/>
      <c r="E863" s="83"/>
      <c r="J863" s="84"/>
      <c r="N863" s="84"/>
      <c r="R863" s="84"/>
      <c r="V863" s="84"/>
      <c r="Z863" s="84"/>
      <c r="AD863" s="84"/>
      <c r="AH863" s="84"/>
      <c r="AL863" s="84"/>
      <c r="AP863" s="84"/>
      <c r="AT863" s="84"/>
      <c r="AX863" s="84"/>
      <c r="BB863" s="85"/>
      <c r="BC863" s="84"/>
      <c r="BD863" s="84"/>
      <c r="BF863" s="84"/>
      <c r="BL863" s="84"/>
      <c r="BP863" s="86"/>
      <c r="BV863" s="84"/>
      <c r="CA863" s="84"/>
      <c r="CF863" s="84"/>
      <c r="CK863" s="84"/>
      <c r="CP863" s="84"/>
      <c r="CS863" s="86"/>
      <c r="CT863" s="84"/>
      <c r="CW863" s="86"/>
      <c r="CX863" s="84"/>
      <c r="DA863" s="86"/>
      <c r="DB863" s="84"/>
      <c r="DE863" s="86"/>
      <c r="DF863" s="84"/>
      <c r="DI863" s="86"/>
      <c r="DJ863" s="84"/>
      <c r="DM863" s="86"/>
      <c r="DN863" s="84"/>
      <c r="DQ863" s="86"/>
      <c r="DR863" s="85"/>
      <c r="DS863" s="85"/>
      <c r="DT863" s="84"/>
      <c r="DV863" s="84"/>
      <c r="DW863" s="157"/>
      <c r="EB863" s="84"/>
      <c r="EG863" s="84"/>
      <c r="EK863" s="84"/>
      <c r="EO863" s="84"/>
      <c r="ES863" s="84"/>
      <c r="EW863" s="84"/>
    </row>
    <row r="864" customFormat="false" ht="12.75" hidden="false" customHeight="false" outlineLevel="0" collapsed="false">
      <c r="A864" s="37"/>
      <c r="E864" s="83"/>
      <c r="J864" s="84"/>
      <c r="N864" s="84"/>
      <c r="R864" s="84"/>
      <c r="V864" s="84"/>
      <c r="Z864" s="84"/>
      <c r="AD864" s="84"/>
      <c r="AH864" s="84"/>
      <c r="AL864" s="84"/>
      <c r="AP864" s="84"/>
      <c r="AT864" s="84"/>
      <c r="AX864" s="84"/>
      <c r="BB864" s="85"/>
      <c r="BC864" s="84"/>
      <c r="BD864" s="84"/>
      <c r="BF864" s="84"/>
      <c r="BL864" s="84"/>
      <c r="BP864" s="86"/>
      <c r="BV864" s="84"/>
      <c r="CA864" s="84"/>
      <c r="CF864" s="84"/>
      <c r="CK864" s="84"/>
      <c r="CP864" s="84"/>
      <c r="CS864" s="86"/>
      <c r="CT864" s="84"/>
      <c r="CW864" s="86"/>
      <c r="CX864" s="84"/>
      <c r="DA864" s="86"/>
      <c r="DB864" s="84"/>
      <c r="DE864" s="86"/>
      <c r="DF864" s="84"/>
      <c r="DI864" s="86"/>
      <c r="DJ864" s="84"/>
      <c r="DM864" s="86"/>
      <c r="DN864" s="84"/>
      <c r="DQ864" s="86"/>
      <c r="DR864" s="85"/>
      <c r="DS864" s="85"/>
      <c r="DT864" s="84"/>
      <c r="DV864" s="84"/>
      <c r="DW864" s="157"/>
      <c r="EB864" s="84"/>
      <c r="EG864" s="84"/>
      <c r="EK864" s="84"/>
      <c r="EO864" s="84"/>
      <c r="ES864" s="84"/>
      <c r="EW864" s="84"/>
    </row>
    <row r="865" customFormat="false" ht="12.75" hidden="false" customHeight="false" outlineLevel="0" collapsed="false">
      <c r="A865" s="37"/>
      <c r="E865" s="83"/>
      <c r="J865" s="84"/>
      <c r="N865" s="84"/>
      <c r="R865" s="84"/>
      <c r="V865" s="84"/>
      <c r="Z865" s="84"/>
      <c r="AD865" s="84"/>
      <c r="AH865" s="84"/>
      <c r="AL865" s="84"/>
      <c r="AP865" s="84"/>
      <c r="AT865" s="84"/>
      <c r="AX865" s="84"/>
      <c r="BB865" s="85"/>
      <c r="BC865" s="84"/>
      <c r="BD865" s="84"/>
      <c r="BF865" s="84"/>
      <c r="BL865" s="84"/>
      <c r="BP865" s="86"/>
      <c r="BV865" s="84"/>
      <c r="CA865" s="84"/>
      <c r="CF865" s="84"/>
      <c r="CK865" s="84"/>
      <c r="CP865" s="84"/>
      <c r="CS865" s="86"/>
      <c r="CT865" s="84"/>
      <c r="CW865" s="86"/>
      <c r="CX865" s="84"/>
      <c r="DA865" s="86"/>
      <c r="DB865" s="84"/>
      <c r="DE865" s="86"/>
      <c r="DF865" s="84"/>
      <c r="DI865" s="86"/>
      <c r="DJ865" s="84"/>
      <c r="DM865" s="86"/>
      <c r="DN865" s="84"/>
      <c r="DQ865" s="86"/>
      <c r="DR865" s="85"/>
      <c r="DS865" s="85"/>
      <c r="DT865" s="84"/>
      <c r="DV865" s="84"/>
      <c r="DW865" s="157"/>
      <c r="EB865" s="84"/>
      <c r="EG865" s="84"/>
      <c r="EK865" s="84"/>
      <c r="EO865" s="84"/>
      <c r="ES865" s="84"/>
      <c r="EW865" s="84"/>
    </row>
    <row r="866" customFormat="false" ht="12.75" hidden="false" customHeight="false" outlineLevel="0" collapsed="false">
      <c r="A866" s="37"/>
      <c r="E866" s="83"/>
      <c r="J866" s="84"/>
      <c r="N866" s="84"/>
      <c r="R866" s="84"/>
      <c r="V866" s="84"/>
      <c r="Z866" s="84"/>
      <c r="AD866" s="84"/>
      <c r="AH866" s="84"/>
      <c r="AL866" s="84"/>
      <c r="AP866" s="84"/>
      <c r="AT866" s="84"/>
      <c r="AX866" s="84"/>
      <c r="BB866" s="85"/>
      <c r="BC866" s="84"/>
      <c r="BD866" s="84"/>
      <c r="BF866" s="84"/>
      <c r="BL866" s="84"/>
      <c r="BP866" s="86"/>
      <c r="BV866" s="84"/>
      <c r="CA866" s="84"/>
      <c r="CF866" s="84"/>
      <c r="CK866" s="84"/>
      <c r="CP866" s="84"/>
      <c r="CS866" s="86"/>
      <c r="CT866" s="84"/>
      <c r="CW866" s="86"/>
      <c r="CX866" s="84"/>
      <c r="DA866" s="86"/>
      <c r="DB866" s="84"/>
      <c r="DE866" s="86"/>
      <c r="DF866" s="84"/>
      <c r="DI866" s="86"/>
      <c r="DJ866" s="84"/>
      <c r="DM866" s="86"/>
      <c r="DN866" s="84"/>
      <c r="DQ866" s="86"/>
      <c r="DR866" s="85"/>
      <c r="DS866" s="85"/>
      <c r="DT866" s="84"/>
      <c r="DV866" s="84"/>
      <c r="DW866" s="157"/>
      <c r="EB866" s="84"/>
      <c r="EG866" s="84"/>
      <c r="EK866" s="84"/>
      <c r="EO866" s="84"/>
      <c r="ES866" s="84"/>
      <c r="EW866" s="84"/>
    </row>
    <row r="867" customFormat="false" ht="12.75" hidden="false" customHeight="false" outlineLevel="0" collapsed="false">
      <c r="A867" s="37"/>
      <c r="E867" s="83"/>
      <c r="J867" s="84"/>
      <c r="N867" s="84"/>
      <c r="R867" s="84"/>
      <c r="V867" s="84"/>
      <c r="Z867" s="84"/>
      <c r="AD867" s="84"/>
      <c r="AH867" s="84"/>
      <c r="AL867" s="84"/>
      <c r="AP867" s="84"/>
      <c r="AT867" s="84"/>
      <c r="AX867" s="84"/>
      <c r="BB867" s="85"/>
      <c r="BC867" s="84"/>
      <c r="BD867" s="84"/>
      <c r="BF867" s="84"/>
      <c r="BL867" s="84"/>
      <c r="BP867" s="86"/>
      <c r="BV867" s="84"/>
      <c r="CA867" s="84"/>
      <c r="CF867" s="84"/>
      <c r="CK867" s="84"/>
      <c r="CP867" s="84"/>
      <c r="CS867" s="86"/>
      <c r="CT867" s="84"/>
      <c r="CW867" s="86"/>
      <c r="CX867" s="84"/>
      <c r="DA867" s="86"/>
      <c r="DB867" s="84"/>
      <c r="DE867" s="86"/>
      <c r="DF867" s="84"/>
      <c r="DI867" s="86"/>
      <c r="DJ867" s="84"/>
      <c r="DM867" s="86"/>
      <c r="DN867" s="84"/>
      <c r="DQ867" s="86"/>
      <c r="DR867" s="85"/>
      <c r="DS867" s="85"/>
      <c r="DT867" s="84"/>
      <c r="DV867" s="84"/>
      <c r="DW867" s="157"/>
      <c r="EB867" s="84"/>
      <c r="EG867" s="84"/>
      <c r="EK867" s="84"/>
      <c r="EO867" s="84"/>
      <c r="ES867" s="84"/>
      <c r="EW867" s="84"/>
    </row>
    <row r="868" customFormat="false" ht="12.75" hidden="false" customHeight="false" outlineLevel="0" collapsed="false">
      <c r="A868" s="37"/>
      <c r="E868" s="83"/>
      <c r="J868" s="84"/>
      <c r="N868" s="84"/>
      <c r="R868" s="84"/>
      <c r="V868" s="84"/>
      <c r="Z868" s="84"/>
      <c r="AD868" s="84"/>
      <c r="AH868" s="84"/>
      <c r="AL868" s="84"/>
      <c r="AP868" s="84"/>
      <c r="AT868" s="84"/>
      <c r="AX868" s="84"/>
      <c r="BB868" s="85"/>
      <c r="BC868" s="84"/>
      <c r="BD868" s="84"/>
      <c r="BF868" s="84"/>
      <c r="BL868" s="84"/>
      <c r="BP868" s="86"/>
      <c r="BV868" s="84"/>
      <c r="CA868" s="84"/>
      <c r="CF868" s="84"/>
      <c r="CK868" s="84"/>
      <c r="CP868" s="84"/>
      <c r="CS868" s="86"/>
      <c r="CT868" s="84"/>
      <c r="CW868" s="86"/>
      <c r="CX868" s="84"/>
      <c r="DA868" s="86"/>
      <c r="DB868" s="84"/>
      <c r="DE868" s="86"/>
      <c r="DF868" s="84"/>
      <c r="DI868" s="86"/>
      <c r="DJ868" s="84"/>
      <c r="DM868" s="86"/>
      <c r="DN868" s="84"/>
      <c r="DQ868" s="86"/>
      <c r="DR868" s="85"/>
      <c r="DS868" s="85"/>
      <c r="DT868" s="84"/>
      <c r="DV868" s="84"/>
      <c r="DW868" s="157"/>
      <c r="EB868" s="84"/>
      <c r="EG868" s="84"/>
      <c r="EK868" s="84"/>
      <c r="EO868" s="84"/>
      <c r="ES868" s="84"/>
      <c r="EW868" s="84"/>
    </row>
    <row r="869" customFormat="false" ht="12.75" hidden="false" customHeight="false" outlineLevel="0" collapsed="false">
      <c r="A869" s="37"/>
      <c r="E869" s="83"/>
      <c r="J869" s="84"/>
      <c r="N869" s="84"/>
      <c r="R869" s="84"/>
      <c r="V869" s="84"/>
      <c r="Z869" s="84"/>
      <c r="AD869" s="84"/>
      <c r="AH869" s="84"/>
      <c r="AL869" s="84"/>
      <c r="AP869" s="84"/>
      <c r="AT869" s="84"/>
      <c r="AX869" s="84"/>
      <c r="BB869" s="85"/>
      <c r="BC869" s="84"/>
      <c r="BD869" s="84"/>
      <c r="BF869" s="84"/>
      <c r="BL869" s="84"/>
      <c r="BP869" s="86"/>
      <c r="BV869" s="84"/>
      <c r="CA869" s="84"/>
      <c r="CF869" s="84"/>
      <c r="CK869" s="84"/>
      <c r="CP869" s="84"/>
      <c r="CS869" s="86"/>
      <c r="CT869" s="84"/>
      <c r="CW869" s="86"/>
      <c r="CX869" s="84"/>
      <c r="DA869" s="86"/>
      <c r="DB869" s="84"/>
      <c r="DE869" s="86"/>
      <c r="DF869" s="84"/>
      <c r="DI869" s="86"/>
      <c r="DJ869" s="84"/>
      <c r="DM869" s="86"/>
      <c r="DN869" s="84"/>
      <c r="DQ869" s="86"/>
      <c r="DR869" s="85"/>
      <c r="DS869" s="85"/>
      <c r="DT869" s="84"/>
      <c r="DV869" s="84"/>
      <c r="DW869" s="157"/>
      <c r="EB869" s="84"/>
      <c r="EG869" s="84"/>
      <c r="EK869" s="84"/>
      <c r="EO869" s="84"/>
      <c r="ES869" s="84"/>
      <c r="EW869" s="84"/>
    </row>
    <row r="870" customFormat="false" ht="12.75" hidden="false" customHeight="false" outlineLevel="0" collapsed="false">
      <c r="A870" s="37"/>
      <c r="E870" s="83"/>
      <c r="J870" s="84"/>
      <c r="N870" s="84"/>
      <c r="R870" s="84"/>
      <c r="V870" s="84"/>
      <c r="Z870" s="84"/>
      <c r="AD870" s="84"/>
      <c r="AH870" s="84"/>
      <c r="AL870" s="84"/>
      <c r="AP870" s="84"/>
      <c r="AT870" s="84"/>
      <c r="AX870" s="84"/>
      <c r="BB870" s="85"/>
      <c r="BC870" s="84"/>
      <c r="BD870" s="84"/>
      <c r="BF870" s="84"/>
      <c r="BL870" s="84"/>
      <c r="BP870" s="86"/>
      <c r="BV870" s="84"/>
      <c r="CA870" s="84"/>
      <c r="CF870" s="84"/>
      <c r="CK870" s="84"/>
      <c r="CP870" s="84"/>
      <c r="CS870" s="86"/>
      <c r="CT870" s="84"/>
      <c r="CW870" s="86"/>
      <c r="CX870" s="84"/>
      <c r="DA870" s="86"/>
      <c r="DB870" s="84"/>
      <c r="DE870" s="86"/>
      <c r="DF870" s="84"/>
      <c r="DI870" s="86"/>
      <c r="DJ870" s="84"/>
      <c r="DM870" s="86"/>
      <c r="DN870" s="84"/>
      <c r="DQ870" s="86"/>
      <c r="DR870" s="85"/>
      <c r="DS870" s="85"/>
      <c r="DT870" s="84"/>
      <c r="DV870" s="84"/>
      <c r="DW870" s="157"/>
      <c r="EB870" s="84"/>
      <c r="EG870" s="84"/>
      <c r="EK870" s="84"/>
      <c r="EO870" s="84"/>
      <c r="ES870" s="84"/>
      <c r="EW870" s="84"/>
    </row>
    <row r="871" customFormat="false" ht="12.75" hidden="false" customHeight="false" outlineLevel="0" collapsed="false">
      <c r="A871" s="37"/>
      <c r="E871" s="83"/>
      <c r="J871" s="84"/>
      <c r="N871" s="84"/>
      <c r="R871" s="84"/>
      <c r="V871" s="84"/>
      <c r="Z871" s="84"/>
      <c r="AD871" s="84"/>
      <c r="AH871" s="84"/>
      <c r="AL871" s="84"/>
      <c r="AP871" s="84"/>
      <c r="AT871" s="84"/>
      <c r="AX871" s="84"/>
      <c r="BB871" s="85"/>
      <c r="BC871" s="84"/>
      <c r="BD871" s="84"/>
      <c r="BF871" s="84"/>
      <c r="BL871" s="84"/>
      <c r="BP871" s="86"/>
      <c r="BV871" s="84"/>
      <c r="CA871" s="84"/>
      <c r="CF871" s="84"/>
      <c r="CK871" s="84"/>
      <c r="CP871" s="84"/>
      <c r="CS871" s="86"/>
      <c r="CT871" s="84"/>
      <c r="CW871" s="86"/>
      <c r="CX871" s="84"/>
      <c r="DA871" s="86"/>
      <c r="DB871" s="84"/>
      <c r="DE871" s="86"/>
      <c r="DF871" s="84"/>
      <c r="DI871" s="86"/>
      <c r="DJ871" s="84"/>
      <c r="DM871" s="86"/>
      <c r="DN871" s="84"/>
      <c r="DQ871" s="86"/>
      <c r="DR871" s="85"/>
      <c r="DS871" s="85"/>
      <c r="DT871" s="84"/>
      <c r="DV871" s="84"/>
      <c r="DW871" s="157"/>
      <c r="EB871" s="84"/>
      <c r="EG871" s="84"/>
      <c r="EK871" s="84"/>
      <c r="EO871" s="84"/>
      <c r="ES871" s="84"/>
      <c r="EW871" s="84"/>
    </row>
    <row r="872" customFormat="false" ht="12.75" hidden="false" customHeight="false" outlineLevel="0" collapsed="false">
      <c r="A872" s="37"/>
      <c r="E872" s="83"/>
      <c r="J872" s="84"/>
      <c r="N872" s="84"/>
      <c r="R872" s="84"/>
      <c r="V872" s="84"/>
      <c r="Z872" s="84"/>
      <c r="AD872" s="84"/>
      <c r="AH872" s="84"/>
      <c r="AL872" s="84"/>
      <c r="AP872" s="84"/>
      <c r="AT872" s="84"/>
      <c r="AX872" s="84"/>
      <c r="BB872" s="85"/>
      <c r="BC872" s="84"/>
      <c r="BD872" s="84"/>
      <c r="BF872" s="84"/>
      <c r="BL872" s="84"/>
      <c r="BP872" s="86"/>
      <c r="BV872" s="84"/>
      <c r="CA872" s="84"/>
      <c r="CF872" s="84"/>
      <c r="CK872" s="84"/>
      <c r="CP872" s="84"/>
      <c r="CS872" s="86"/>
      <c r="CT872" s="84"/>
      <c r="CW872" s="86"/>
      <c r="CX872" s="84"/>
      <c r="DA872" s="86"/>
      <c r="DB872" s="84"/>
      <c r="DE872" s="86"/>
      <c r="DF872" s="84"/>
      <c r="DI872" s="86"/>
      <c r="DJ872" s="84"/>
      <c r="DM872" s="86"/>
      <c r="DN872" s="84"/>
      <c r="DQ872" s="86"/>
      <c r="DR872" s="85"/>
      <c r="DS872" s="85"/>
      <c r="DT872" s="84"/>
      <c r="DV872" s="84"/>
      <c r="DW872" s="157"/>
      <c r="EB872" s="84"/>
      <c r="EG872" s="84"/>
      <c r="EK872" s="84"/>
      <c r="EO872" s="84"/>
      <c r="ES872" s="84"/>
      <c r="EW872" s="84"/>
    </row>
    <row r="873" customFormat="false" ht="12.75" hidden="false" customHeight="false" outlineLevel="0" collapsed="false">
      <c r="A873" s="37"/>
      <c r="E873" s="83"/>
      <c r="J873" s="84"/>
      <c r="N873" s="84"/>
      <c r="R873" s="84"/>
      <c r="V873" s="84"/>
      <c r="Z873" s="84"/>
      <c r="AD873" s="84"/>
      <c r="AH873" s="84"/>
      <c r="AL873" s="84"/>
      <c r="AP873" s="84"/>
      <c r="AT873" s="84"/>
      <c r="AX873" s="84"/>
      <c r="BB873" s="85"/>
      <c r="BC873" s="84"/>
      <c r="BD873" s="84"/>
      <c r="BF873" s="84"/>
      <c r="BL873" s="84"/>
      <c r="BP873" s="86"/>
      <c r="BV873" s="84"/>
      <c r="CA873" s="84"/>
      <c r="CF873" s="84"/>
      <c r="CK873" s="84"/>
      <c r="CP873" s="84"/>
      <c r="CS873" s="86"/>
      <c r="CT873" s="84"/>
      <c r="CW873" s="86"/>
      <c r="CX873" s="84"/>
      <c r="DA873" s="86"/>
      <c r="DB873" s="84"/>
      <c r="DE873" s="86"/>
      <c r="DF873" s="84"/>
      <c r="DI873" s="86"/>
      <c r="DJ873" s="84"/>
      <c r="DM873" s="86"/>
      <c r="DN873" s="84"/>
      <c r="DQ873" s="86"/>
      <c r="DR873" s="85"/>
      <c r="DS873" s="85"/>
      <c r="DT873" s="84"/>
      <c r="DV873" s="84"/>
      <c r="DW873" s="157"/>
      <c r="EB873" s="84"/>
      <c r="EG873" s="84"/>
      <c r="EK873" s="84"/>
      <c r="EO873" s="84"/>
      <c r="ES873" s="84"/>
      <c r="EW873" s="84"/>
    </row>
    <row r="874" customFormat="false" ht="12.75" hidden="false" customHeight="false" outlineLevel="0" collapsed="false">
      <c r="A874" s="37"/>
      <c r="E874" s="83"/>
      <c r="J874" s="84"/>
      <c r="N874" s="84"/>
      <c r="R874" s="84"/>
      <c r="V874" s="84"/>
      <c r="Z874" s="84"/>
      <c r="AD874" s="84"/>
      <c r="AH874" s="84"/>
      <c r="AL874" s="84"/>
      <c r="AP874" s="84"/>
      <c r="AT874" s="84"/>
      <c r="AX874" s="84"/>
      <c r="BB874" s="85"/>
      <c r="BC874" s="84"/>
      <c r="BD874" s="84"/>
      <c r="BF874" s="84"/>
      <c r="BL874" s="84"/>
      <c r="BP874" s="86"/>
      <c r="BV874" s="84"/>
      <c r="CA874" s="84"/>
      <c r="CF874" s="84"/>
      <c r="CK874" s="84"/>
      <c r="CP874" s="84"/>
      <c r="CS874" s="86"/>
      <c r="CT874" s="84"/>
      <c r="CW874" s="86"/>
      <c r="CX874" s="84"/>
      <c r="DA874" s="86"/>
      <c r="DB874" s="84"/>
      <c r="DE874" s="86"/>
      <c r="DF874" s="84"/>
      <c r="DI874" s="86"/>
      <c r="DJ874" s="84"/>
      <c r="DM874" s="86"/>
      <c r="DN874" s="84"/>
      <c r="DQ874" s="86"/>
      <c r="DR874" s="85"/>
      <c r="DS874" s="85"/>
      <c r="DT874" s="84"/>
      <c r="DV874" s="84"/>
      <c r="DW874" s="157"/>
      <c r="EB874" s="84"/>
      <c r="EG874" s="84"/>
      <c r="EK874" s="84"/>
      <c r="EO874" s="84"/>
      <c r="ES874" s="84"/>
      <c r="EW874" s="84"/>
    </row>
    <row r="875" customFormat="false" ht="12.75" hidden="false" customHeight="false" outlineLevel="0" collapsed="false">
      <c r="A875" s="37"/>
      <c r="E875" s="83"/>
      <c r="J875" s="84"/>
      <c r="N875" s="84"/>
      <c r="R875" s="84"/>
      <c r="V875" s="84"/>
      <c r="Z875" s="84"/>
      <c r="AD875" s="84"/>
      <c r="AH875" s="84"/>
      <c r="AL875" s="84"/>
      <c r="AP875" s="84"/>
      <c r="AT875" s="84"/>
      <c r="AX875" s="84"/>
      <c r="BB875" s="85"/>
      <c r="BC875" s="84"/>
      <c r="BD875" s="84"/>
      <c r="BF875" s="84"/>
      <c r="BL875" s="84"/>
      <c r="BP875" s="86"/>
      <c r="BV875" s="84"/>
      <c r="CA875" s="84"/>
      <c r="CF875" s="84"/>
      <c r="CK875" s="84"/>
      <c r="CP875" s="84"/>
      <c r="CS875" s="86"/>
      <c r="CT875" s="84"/>
      <c r="CW875" s="86"/>
      <c r="CX875" s="84"/>
      <c r="DA875" s="86"/>
      <c r="DB875" s="84"/>
      <c r="DE875" s="86"/>
      <c r="DF875" s="84"/>
      <c r="DI875" s="86"/>
      <c r="DJ875" s="84"/>
      <c r="DM875" s="86"/>
      <c r="DN875" s="84"/>
      <c r="DQ875" s="86"/>
      <c r="DR875" s="85"/>
      <c r="DS875" s="85"/>
      <c r="DT875" s="84"/>
      <c r="DV875" s="84"/>
      <c r="DW875" s="157"/>
      <c r="EB875" s="84"/>
      <c r="EG875" s="84"/>
      <c r="EK875" s="84"/>
      <c r="EO875" s="84"/>
      <c r="ES875" s="84"/>
      <c r="EW875" s="84"/>
    </row>
    <row r="876" customFormat="false" ht="12.75" hidden="false" customHeight="false" outlineLevel="0" collapsed="false">
      <c r="A876" s="37"/>
      <c r="E876" s="83"/>
      <c r="J876" s="84"/>
      <c r="N876" s="84"/>
      <c r="R876" s="84"/>
      <c r="V876" s="84"/>
      <c r="Z876" s="84"/>
      <c r="AD876" s="84"/>
      <c r="AH876" s="84"/>
      <c r="AL876" s="84"/>
      <c r="AP876" s="84"/>
      <c r="AT876" s="84"/>
      <c r="AX876" s="84"/>
      <c r="BB876" s="85"/>
      <c r="BC876" s="84"/>
      <c r="BD876" s="84"/>
      <c r="BF876" s="84"/>
      <c r="BL876" s="84"/>
      <c r="BP876" s="86"/>
      <c r="BV876" s="84"/>
      <c r="CA876" s="84"/>
      <c r="CF876" s="84"/>
      <c r="CK876" s="84"/>
      <c r="CP876" s="84"/>
      <c r="CS876" s="86"/>
      <c r="CT876" s="84"/>
      <c r="CW876" s="86"/>
      <c r="CX876" s="84"/>
      <c r="DA876" s="86"/>
      <c r="DB876" s="84"/>
      <c r="DE876" s="86"/>
      <c r="DF876" s="84"/>
      <c r="DI876" s="86"/>
      <c r="DJ876" s="84"/>
      <c r="DM876" s="86"/>
      <c r="DN876" s="84"/>
      <c r="DQ876" s="86"/>
      <c r="DR876" s="85"/>
      <c r="DS876" s="85"/>
      <c r="DT876" s="84"/>
      <c r="DV876" s="84"/>
      <c r="DW876" s="157"/>
      <c r="EB876" s="84"/>
      <c r="EG876" s="84"/>
      <c r="EK876" s="84"/>
      <c r="EO876" s="84"/>
      <c r="ES876" s="84"/>
      <c r="EW876" s="84"/>
    </row>
    <row r="877" customFormat="false" ht="12.75" hidden="false" customHeight="false" outlineLevel="0" collapsed="false">
      <c r="A877" s="37"/>
      <c r="E877" s="83"/>
      <c r="J877" s="84"/>
      <c r="N877" s="84"/>
      <c r="R877" s="84"/>
      <c r="V877" s="84"/>
      <c r="Z877" s="84"/>
      <c r="AD877" s="84"/>
      <c r="AH877" s="84"/>
      <c r="AL877" s="84"/>
      <c r="AP877" s="84"/>
      <c r="AT877" s="84"/>
      <c r="AX877" s="84"/>
      <c r="BB877" s="85"/>
      <c r="BC877" s="84"/>
      <c r="BD877" s="84"/>
      <c r="BF877" s="84"/>
      <c r="BL877" s="84"/>
      <c r="BP877" s="86"/>
      <c r="BV877" s="84"/>
      <c r="CA877" s="84"/>
      <c r="CF877" s="84"/>
      <c r="CK877" s="84"/>
      <c r="CP877" s="84"/>
      <c r="CS877" s="86"/>
      <c r="CT877" s="84"/>
      <c r="CW877" s="86"/>
      <c r="CX877" s="84"/>
      <c r="DA877" s="86"/>
      <c r="DB877" s="84"/>
      <c r="DE877" s="86"/>
      <c r="DF877" s="84"/>
      <c r="DI877" s="86"/>
      <c r="DJ877" s="84"/>
      <c r="DM877" s="86"/>
      <c r="DN877" s="84"/>
      <c r="DQ877" s="86"/>
      <c r="DR877" s="85"/>
      <c r="DS877" s="85"/>
      <c r="DT877" s="84"/>
      <c r="DV877" s="84"/>
      <c r="DW877" s="157"/>
      <c r="EB877" s="84"/>
      <c r="EG877" s="84"/>
      <c r="EK877" s="84"/>
      <c r="EO877" s="84"/>
      <c r="ES877" s="84"/>
      <c r="EW877" s="84"/>
    </row>
    <row r="878" customFormat="false" ht="12.75" hidden="false" customHeight="false" outlineLevel="0" collapsed="false">
      <c r="A878" s="37"/>
      <c r="E878" s="83"/>
      <c r="J878" s="84"/>
      <c r="N878" s="84"/>
      <c r="R878" s="84"/>
      <c r="V878" s="84"/>
      <c r="Z878" s="84"/>
      <c r="AD878" s="84"/>
      <c r="AH878" s="84"/>
      <c r="AL878" s="84"/>
      <c r="AP878" s="84"/>
      <c r="AT878" s="84"/>
      <c r="AX878" s="84"/>
      <c r="BB878" s="85"/>
      <c r="BC878" s="84"/>
      <c r="BD878" s="84"/>
      <c r="BF878" s="84"/>
      <c r="BL878" s="84"/>
      <c r="BP878" s="86"/>
      <c r="BV878" s="84"/>
      <c r="CA878" s="84"/>
      <c r="CF878" s="84"/>
      <c r="CK878" s="84"/>
      <c r="CP878" s="84"/>
      <c r="CS878" s="86"/>
      <c r="CT878" s="84"/>
      <c r="CW878" s="86"/>
      <c r="CX878" s="84"/>
      <c r="DA878" s="86"/>
      <c r="DB878" s="84"/>
      <c r="DE878" s="86"/>
      <c r="DF878" s="84"/>
      <c r="DI878" s="86"/>
      <c r="DJ878" s="84"/>
      <c r="DM878" s="86"/>
      <c r="DN878" s="84"/>
      <c r="DQ878" s="86"/>
      <c r="DR878" s="85"/>
      <c r="DS878" s="85"/>
      <c r="DT878" s="84"/>
      <c r="DV878" s="84"/>
      <c r="DW878" s="157"/>
      <c r="EB878" s="84"/>
      <c r="EG878" s="84"/>
      <c r="EK878" s="84"/>
      <c r="EO878" s="84"/>
      <c r="ES878" s="84"/>
      <c r="EW878" s="84"/>
    </row>
    <row r="879" customFormat="false" ht="12.75" hidden="false" customHeight="false" outlineLevel="0" collapsed="false">
      <c r="A879" s="37"/>
      <c r="E879" s="83"/>
      <c r="J879" s="84"/>
      <c r="N879" s="84"/>
      <c r="R879" s="84"/>
      <c r="V879" s="84"/>
      <c r="Z879" s="84"/>
      <c r="AD879" s="84"/>
      <c r="AH879" s="84"/>
      <c r="AL879" s="84"/>
      <c r="AP879" s="84"/>
      <c r="AT879" s="84"/>
      <c r="AX879" s="84"/>
      <c r="BB879" s="85"/>
      <c r="BC879" s="84"/>
      <c r="BD879" s="84"/>
      <c r="BF879" s="84"/>
      <c r="BL879" s="84"/>
      <c r="BP879" s="86"/>
      <c r="BV879" s="84"/>
      <c r="CA879" s="84"/>
      <c r="CF879" s="84"/>
      <c r="CK879" s="84"/>
      <c r="CP879" s="84"/>
      <c r="CS879" s="86"/>
      <c r="CT879" s="84"/>
      <c r="CW879" s="86"/>
      <c r="CX879" s="84"/>
      <c r="DA879" s="86"/>
      <c r="DB879" s="84"/>
      <c r="DE879" s="86"/>
      <c r="DF879" s="84"/>
      <c r="DI879" s="86"/>
      <c r="DJ879" s="84"/>
      <c r="DM879" s="86"/>
      <c r="DN879" s="84"/>
      <c r="DQ879" s="86"/>
      <c r="DR879" s="85"/>
      <c r="DS879" s="85"/>
      <c r="DT879" s="84"/>
      <c r="DV879" s="84"/>
      <c r="DW879" s="157"/>
      <c r="EB879" s="84"/>
      <c r="EG879" s="84"/>
      <c r="EK879" s="84"/>
      <c r="EO879" s="84"/>
      <c r="ES879" s="84"/>
      <c r="EW879" s="84"/>
    </row>
    <row r="880" customFormat="false" ht="12.75" hidden="false" customHeight="false" outlineLevel="0" collapsed="false">
      <c r="A880" s="37"/>
      <c r="E880" s="83"/>
      <c r="J880" s="84"/>
      <c r="N880" s="84"/>
      <c r="R880" s="84"/>
      <c r="V880" s="84"/>
      <c r="Z880" s="84"/>
      <c r="AD880" s="84"/>
      <c r="AH880" s="84"/>
      <c r="AL880" s="84"/>
      <c r="AP880" s="84"/>
      <c r="AT880" s="84"/>
      <c r="AX880" s="84"/>
      <c r="BB880" s="85"/>
      <c r="BC880" s="84"/>
      <c r="BD880" s="84"/>
      <c r="BF880" s="84"/>
      <c r="BL880" s="84"/>
      <c r="BP880" s="86"/>
      <c r="BV880" s="84"/>
      <c r="CA880" s="84"/>
      <c r="CF880" s="84"/>
      <c r="CK880" s="84"/>
      <c r="CP880" s="84"/>
      <c r="CS880" s="86"/>
      <c r="CT880" s="84"/>
      <c r="CW880" s="86"/>
      <c r="CX880" s="84"/>
      <c r="DA880" s="86"/>
      <c r="DB880" s="84"/>
      <c r="DE880" s="86"/>
      <c r="DF880" s="84"/>
      <c r="DI880" s="86"/>
      <c r="DJ880" s="84"/>
      <c r="DM880" s="86"/>
      <c r="DN880" s="84"/>
      <c r="DQ880" s="86"/>
      <c r="DR880" s="85"/>
      <c r="DS880" s="85"/>
      <c r="DT880" s="84"/>
      <c r="DV880" s="84"/>
      <c r="DW880" s="157"/>
      <c r="EB880" s="84"/>
      <c r="EG880" s="84"/>
      <c r="EK880" s="84"/>
      <c r="EO880" s="84"/>
      <c r="ES880" s="84"/>
      <c r="EW880" s="84"/>
    </row>
    <row r="881" customFormat="false" ht="12.75" hidden="false" customHeight="false" outlineLevel="0" collapsed="false">
      <c r="A881" s="37"/>
      <c r="E881" s="83"/>
      <c r="J881" s="84"/>
      <c r="N881" s="84"/>
      <c r="R881" s="84"/>
      <c r="V881" s="84"/>
      <c r="Z881" s="84"/>
      <c r="AD881" s="84"/>
      <c r="AH881" s="84"/>
      <c r="AL881" s="84"/>
      <c r="AP881" s="84"/>
      <c r="AT881" s="84"/>
      <c r="AX881" s="84"/>
      <c r="BB881" s="85"/>
      <c r="BC881" s="84"/>
      <c r="BD881" s="84"/>
      <c r="BF881" s="84"/>
      <c r="BL881" s="84"/>
      <c r="BP881" s="86"/>
      <c r="BV881" s="84"/>
      <c r="CA881" s="84"/>
      <c r="CF881" s="84"/>
      <c r="CK881" s="84"/>
      <c r="CP881" s="84"/>
      <c r="CS881" s="86"/>
      <c r="CT881" s="84"/>
      <c r="CW881" s="86"/>
      <c r="CX881" s="84"/>
      <c r="DA881" s="86"/>
      <c r="DB881" s="84"/>
      <c r="DE881" s="86"/>
      <c r="DF881" s="84"/>
      <c r="DI881" s="86"/>
      <c r="DJ881" s="84"/>
      <c r="DM881" s="86"/>
      <c r="DN881" s="84"/>
      <c r="DQ881" s="86"/>
      <c r="DR881" s="85"/>
      <c r="DS881" s="85"/>
      <c r="DT881" s="84"/>
      <c r="DV881" s="84"/>
      <c r="DW881" s="157"/>
      <c r="EB881" s="84"/>
      <c r="EG881" s="84"/>
      <c r="EK881" s="84"/>
      <c r="EO881" s="84"/>
      <c r="ES881" s="84"/>
      <c r="EW881" s="84"/>
    </row>
    <row r="882" customFormat="false" ht="12.75" hidden="false" customHeight="false" outlineLevel="0" collapsed="false">
      <c r="A882" s="37"/>
      <c r="E882" s="83"/>
      <c r="J882" s="84"/>
      <c r="N882" s="84"/>
      <c r="R882" s="84"/>
      <c r="V882" s="84"/>
      <c r="Z882" s="84"/>
      <c r="AD882" s="84"/>
      <c r="AH882" s="84"/>
      <c r="AL882" s="84"/>
      <c r="AP882" s="84"/>
      <c r="AT882" s="84"/>
      <c r="AX882" s="84"/>
      <c r="BB882" s="85"/>
      <c r="BC882" s="84"/>
      <c r="BD882" s="84"/>
      <c r="BF882" s="84"/>
      <c r="BL882" s="84"/>
      <c r="BP882" s="86"/>
      <c r="BV882" s="84"/>
      <c r="CA882" s="84"/>
      <c r="CF882" s="84"/>
      <c r="CK882" s="84"/>
      <c r="CP882" s="84"/>
      <c r="CS882" s="86"/>
      <c r="CT882" s="84"/>
      <c r="CW882" s="86"/>
      <c r="CX882" s="84"/>
      <c r="DA882" s="86"/>
      <c r="DB882" s="84"/>
      <c r="DE882" s="86"/>
      <c r="DF882" s="84"/>
      <c r="DI882" s="86"/>
      <c r="DJ882" s="84"/>
      <c r="DM882" s="86"/>
      <c r="DN882" s="84"/>
      <c r="DQ882" s="86"/>
      <c r="DR882" s="85"/>
      <c r="DS882" s="85"/>
      <c r="DT882" s="84"/>
      <c r="DV882" s="84"/>
      <c r="DW882" s="157"/>
      <c r="EB882" s="84"/>
      <c r="EG882" s="84"/>
      <c r="EK882" s="84"/>
      <c r="EO882" s="84"/>
      <c r="ES882" s="84"/>
      <c r="EW882" s="84"/>
    </row>
    <row r="883" customFormat="false" ht="12.75" hidden="false" customHeight="false" outlineLevel="0" collapsed="false">
      <c r="A883" s="37"/>
      <c r="E883" s="83"/>
      <c r="J883" s="84"/>
      <c r="N883" s="84"/>
      <c r="R883" s="84"/>
      <c r="V883" s="84"/>
      <c r="Z883" s="84"/>
      <c r="AD883" s="84"/>
      <c r="AH883" s="84"/>
      <c r="AL883" s="84"/>
      <c r="AP883" s="84"/>
      <c r="AT883" s="84"/>
      <c r="AX883" s="84"/>
      <c r="BB883" s="85"/>
      <c r="BC883" s="84"/>
      <c r="BD883" s="84"/>
      <c r="BF883" s="84"/>
      <c r="BL883" s="84"/>
      <c r="BP883" s="86"/>
      <c r="BV883" s="84"/>
      <c r="CA883" s="84"/>
      <c r="CF883" s="84"/>
      <c r="CK883" s="84"/>
      <c r="CP883" s="84"/>
      <c r="CS883" s="86"/>
      <c r="CT883" s="84"/>
      <c r="CW883" s="86"/>
      <c r="CX883" s="84"/>
      <c r="DA883" s="86"/>
      <c r="DB883" s="84"/>
      <c r="DE883" s="86"/>
      <c r="DF883" s="84"/>
      <c r="DI883" s="86"/>
      <c r="DJ883" s="84"/>
      <c r="DM883" s="86"/>
      <c r="DN883" s="84"/>
      <c r="DQ883" s="86"/>
      <c r="DR883" s="85"/>
      <c r="DS883" s="85"/>
      <c r="DT883" s="84"/>
      <c r="DV883" s="84"/>
      <c r="DW883" s="157"/>
      <c r="EB883" s="84"/>
      <c r="EG883" s="84"/>
      <c r="EK883" s="84"/>
      <c r="EO883" s="84"/>
      <c r="ES883" s="84"/>
      <c r="EW883" s="84"/>
    </row>
    <row r="884" customFormat="false" ht="12.75" hidden="false" customHeight="false" outlineLevel="0" collapsed="false">
      <c r="A884" s="37"/>
      <c r="E884" s="83"/>
      <c r="J884" s="84"/>
      <c r="N884" s="84"/>
      <c r="R884" s="84"/>
      <c r="V884" s="84"/>
      <c r="Z884" s="84"/>
      <c r="AD884" s="84"/>
      <c r="AH884" s="84"/>
      <c r="AL884" s="84"/>
      <c r="AP884" s="84"/>
      <c r="AT884" s="84"/>
      <c r="AX884" s="84"/>
      <c r="BB884" s="85"/>
      <c r="BC884" s="84"/>
      <c r="BD884" s="84"/>
      <c r="BF884" s="84"/>
      <c r="BL884" s="84"/>
      <c r="BP884" s="86"/>
      <c r="BV884" s="84"/>
      <c r="CA884" s="84"/>
      <c r="CF884" s="84"/>
      <c r="CK884" s="84"/>
      <c r="CP884" s="84"/>
      <c r="CS884" s="86"/>
      <c r="CT884" s="84"/>
      <c r="CW884" s="86"/>
      <c r="CX884" s="84"/>
      <c r="DA884" s="86"/>
      <c r="DB884" s="84"/>
      <c r="DE884" s="86"/>
      <c r="DF884" s="84"/>
      <c r="DI884" s="86"/>
      <c r="DJ884" s="84"/>
      <c r="DM884" s="86"/>
      <c r="DN884" s="84"/>
      <c r="DQ884" s="86"/>
      <c r="DR884" s="85"/>
      <c r="DS884" s="85"/>
      <c r="DT884" s="84"/>
      <c r="DV884" s="84"/>
      <c r="DW884" s="157"/>
      <c r="EB884" s="84"/>
      <c r="EG884" s="84"/>
      <c r="EK884" s="84"/>
      <c r="EO884" s="84"/>
      <c r="ES884" s="84"/>
      <c r="EW884" s="84"/>
    </row>
    <row r="885" customFormat="false" ht="12.75" hidden="false" customHeight="false" outlineLevel="0" collapsed="false">
      <c r="A885" s="37"/>
      <c r="E885" s="83"/>
      <c r="J885" s="84"/>
      <c r="N885" s="84"/>
      <c r="R885" s="84"/>
      <c r="V885" s="84"/>
      <c r="Z885" s="84"/>
      <c r="AD885" s="84"/>
      <c r="AH885" s="84"/>
      <c r="AL885" s="84"/>
      <c r="AP885" s="84"/>
      <c r="AT885" s="84"/>
      <c r="AX885" s="84"/>
      <c r="BB885" s="85"/>
      <c r="BC885" s="84"/>
      <c r="BD885" s="84"/>
      <c r="BF885" s="84"/>
      <c r="BL885" s="84"/>
      <c r="BP885" s="86"/>
      <c r="BV885" s="84"/>
      <c r="CA885" s="84"/>
      <c r="CF885" s="84"/>
      <c r="CK885" s="84"/>
      <c r="CP885" s="84"/>
      <c r="CS885" s="86"/>
      <c r="CT885" s="84"/>
      <c r="CW885" s="86"/>
      <c r="CX885" s="84"/>
      <c r="DA885" s="86"/>
      <c r="DB885" s="84"/>
      <c r="DE885" s="86"/>
      <c r="DF885" s="84"/>
      <c r="DI885" s="86"/>
      <c r="DJ885" s="84"/>
      <c r="DM885" s="86"/>
      <c r="DN885" s="84"/>
      <c r="DQ885" s="86"/>
      <c r="DR885" s="85"/>
      <c r="DS885" s="85"/>
      <c r="DT885" s="84"/>
      <c r="DV885" s="84"/>
      <c r="DW885" s="157"/>
      <c r="EB885" s="84"/>
      <c r="EG885" s="84"/>
      <c r="EK885" s="84"/>
      <c r="EO885" s="84"/>
      <c r="ES885" s="84"/>
      <c r="EW885" s="84"/>
    </row>
    <row r="886" customFormat="false" ht="12.75" hidden="false" customHeight="false" outlineLevel="0" collapsed="false">
      <c r="A886" s="37"/>
      <c r="E886" s="83"/>
      <c r="J886" s="84"/>
      <c r="N886" s="84"/>
      <c r="R886" s="84"/>
      <c r="V886" s="84"/>
      <c r="Z886" s="84"/>
      <c r="AD886" s="84"/>
      <c r="AH886" s="84"/>
      <c r="AL886" s="84"/>
      <c r="AP886" s="84"/>
      <c r="AT886" s="84"/>
      <c r="AX886" s="84"/>
      <c r="BB886" s="85"/>
      <c r="BC886" s="84"/>
      <c r="BD886" s="84"/>
      <c r="BF886" s="84"/>
      <c r="BL886" s="84"/>
      <c r="BP886" s="86"/>
      <c r="BV886" s="84"/>
      <c r="CA886" s="84"/>
      <c r="CF886" s="84"/>
      <c r="CK886" s="84"/>
      <c r="CP886" s="84"/>
      <c r="CS886" s="86"/>
      <c r="CT886" s="84"/>
      <c r="CW886" s="86"/>
      <c r="CX886" s="84"/>
      <c r="DA886" s="86"/>
      <c r="DB886" s="84"/>
      <c r="DE886" s="86"/>
      <c r="DF886" s="84"/>
      <c r="DI886" s="86"/>
      <c r="DJ886" s="84"/>
      <c r="DM886" s="86"/>
      <c r="DN886" s="84"/>
      <c r="DQ886" s="86"/>
      <c r="DR886" s="85"/>
      <c r="DS886" s="85"/>
      <c r="DT886" s="84"/>
      <c r="DV886" s="84"/>
      <c r="DW886" s="157"/>
      <c r="EB886" s="84"/>
      <c r="EG886" s="84"/>
      <c r="EK886" s="84"/>
      <c r="EO886" s="84"/>
      <c r="ES886" s="84"/>
      <c r="EW886" s="84"/>
    </row>
    <row r="887" customFormat="false" ht="12.75" hidden="false" customHeight="false" outlineLevel="0" collapsed="false">
      <c r="A887" s="37"/>
      <c r="E887" s="83"/>
      <c r="J887" s="84"/>
      <c r="N887" s="84"/>
      <c r="R887" s="84"/>
      <c r="V887" s="84"/>
      <c r="Z887" s="84"/>
      <c r="AD887" s="84"/>
      <c r="AH887" s="84"/>
      <c r="AL887" s="84"/>
      <c r="AP887" s="84"/>
      <c r="AT887" s="84"/>
      <c r="AX887" s="84"/>
      <c r="BB887" s="85"/>
      <c r="BC887" s="84"/>
      <c r="BD887" s="84"/>
      <c r="BF887" s="84"/>
      <c r="BL887" s="84"/>
      <c r="BP887" s="86"/>
      <c r="BV887" s="84"/>
      <c r="CA887" s="84"/>
      <c r="CF887" s="84"/>
      <c r="CK887" s="84"/>
      <c r="CP887" s="84"/>
      <c r="CS887" s="86"/>
      <c r="CT887" s="84"/>
      <c r="CW887" s="86"/>
      <c r="CX887" s="84"/>
      <c r="DA887" s="86"/>
      <c r="DB887" s="84"/>
      <c r="DE887" s="86"/>
      <c r="DF887" s="84"/>
      <c r="DI887" s="86"/>
      <c r="DJ887" s="84"/>
      <c r="DM887" s="86"/>
      <c r="DN887" s="84"/>
      <c r="DQ887" s="86"/>
      <c r="DR887" s="85"/>
      <c r="DS887" s="85"/>
      <c r="DT887" s="84"/>
      <c r="DV887" s="84"/>
      <c r="DW887" s="157"/>
      <c r="EB887" s="84"/>
      <c r="EG887" s="84"/>
      <c r="EK887" s="84"/>
      <c r="EO887" s="84"/>
      <c r="ES887" s="84"/>
      <c r="EW887" s="84"/>
    </row>
    <row r="888" customFormat="false" ht="12.75" hidden="false" customHeight="false" outlineLevel="0" collapsed="false">
      <c r="A888" s="37"/>
      <c r="E888" s="83"/>
      <c r="J888" s="84"/>
      <c r="N888" s="84"/>
      <c r="R888" s="84"/>
      <c r="V888" s="84"/>
      <c r="Z888" s="84"/>
      <c r="AD888" s="84"/>
      <c r="AH888" s="84"/>
      <c r="AL888" s="84"/>
      <c r="AP888" s="84"/>
      <c r="AT888" s="84"/>
      <c r="AX888" s="84"/>
      <c r="BB888" s="85"/>
      <c r="BC888" s="84"/>
      <c r="BD888" s="84"/>
      <c r="BF888" s="84"/>
      <c r="BL888" s="84"/>
      <c r="BP888" s="86"/>
      <c r="BV888" s="84"/>
      <c r="CA888" s="84"/>
      <c r="CF888" s="84"/>
      <c r="CK888" s="84"/>
      <c r="CP888" s="84"/>
      <c r="CS888" s="86"/>
      <c r="CT888" s="84"/>
      <c r="CW888" s="86"/>
      <c r="CX888" s="84"/>
      <c r="DA888" s="86"/>
      <c r="DB888" s="84"/>
      <c r="DE888" s="86"/>
      <c r="DF888" s="84"/>
      <c r="DI888" s="86"/>
      <c r="DJ888" s="84"/>
      <c r="DM888" s="86"/>
      <c r="DN888" s="84"/>
      <c r="DQ888" s="86"/>
      <c r="DR888" s="85"/>
      <c r="DS888" s="85"/>
      <c r="DT888" s="84"/>
      <c r="DV888" s="84"/>
      <c r="DW888" s="157"/>
      <c r="EB888" s="84"/>
      <c r="EG888" s="84"/>
      <c r="EK888" s="84"/>
      <c r="EO888" s="84"/>
      <c r="ES888" s="84"/>
      <c r="EW888" s="84"/>
    </row>
    <row r="889" customFormat="false" ht="12.75" hidden="false" customHeight="false" outlineLevel="0" collapsed="false">
      <c r="A889" s="37"/>
      <c r="E889" s="83"/>
      <c r="J889" s="84"/>
      <c r="N889" s="84"/>
      <c r="R889" s="84"/>
      <c r="V889" s="84"/>
      <c r="Z889" s="84"/>
      <c r="AD889" s="84"/>
      <c r="AH889" s="84"/>
      <c r="AL889" s="84"/>
      <c r="AP889" s="84"/>
      <c r="AT889" s="84"/>
      <c r="AX889" s="84"/>
      <c r="BB889" s="85"/>
      <c r="BC889" s="84"/>
      <c r="BD889" s="84"/>
      <c r="BF889" s="84"/>
      <c r="BL889" s="84"/>
      <c r="BP889" s="86"/>
      <c r="BV889" s="84"/>
      <c r="CA889" s="84"/>
      <c r="CF889" s="84"/>
      <c r="CK889" s="84"/>
      <c r="CP889" s="84"/>
      <c r="CS889" s="86"/>
      <c r="CT889" s="84"/>
      <c r="CW889" s="86"/>
      <c r="CX889" s="84"/>
      <c r="DA889" s="86"/>
      <c r="DB889" s="84"/>
      <c r="DE889" s="86"/>
      <c r="DF889" s="84"/>
      <c r="DI889" s="86"/>
      <c r="DJ889" s="84"/>
      <c r="DM889" s="86"/>
      <c r="DN889" s="84"/>
      <c r="DQ889" s="86"/>
      <c r="DR889" s="85"/>
      <c r="DS889" s="85"/>
      <c r="DT889" s="84"/>
      <c r="DV889" s="84"/>
      <c r="DW889" s="157"/>
      <c r="EB889" s="84"/>
      <c r="EG889" s="84"/>
      <c r="EK889" s="84"/>
      <c r="EO889" s="84"/>
      <c r="ES889" s="84"/>
      <c r="EW889" s="84"/>
    </row>
    <row r="890" customFormat="false" ht="12.75" hidden="false" customHeight="false" outlineLevel="0" collapsed="false">
      <c r="A890" s="37"/>
      <c r="E890" s="83"/>
      <c r="J890" s="84"/>
      <c r="N890" s="84"/>
      <c r="R890" s="84"/>
      <c r="V890" s="84"/>
      <c r="Z890" s="84"/>
      <c r="AD890" s="84"/>
      <c r="AH890" s="84"/>
      <c r="AL890" s="84"/>
      <c r="AP890" s="84"/>
      <c r="AT890" s="84"/>
      <c r="AX890" s="84"/>
      <c r="BB890" s="85"/>
      <c r="BC890" s="84"/>
      <c r="BD890" s="84"/>
      <c r="BF890" s="84"/>
      <c r="BL890" s="84"/>
      <c r="BP890" s="86"/>
      <c r="BV890" s="84"/>
      <c r="CA890" s="84"/>
      <c r="CF890" s="84"/>
      <c r="CK890" s="84"/>
      <c r="CP890" s="84"/>
      <c r="CS890" s="86"/>
      <c r="CT890" s="84"/>
      <c r="CW890" s="86"/>
      <c r="CX890" s="84"/>
      <c r="DA890" s="86"/>
      <c r="DB890" s="84"/>
      <c r="DE890" s="86"/>
      <c r="DF890" s="84"/>
      <c r="DI890" s="86"/>
      <c r="DJ890" s="84"/>
      <c r="DM890" s="86"/>
      <c r="DN890" s="84"/>
      <c r="DQ890" s="86"/>
      <c r="DR890" s="85"/>
      <c r="DS890" s="85"/>
      <c r="DT890" s="84"/>
      <c r="DV890" s="84"/>
      <c r="DW890" s="157"/>
      <c r="EB890" s="84"/>
      <c r="EG890" s="84"/>
      <c r="EK890" s="84"/>
      <c r="EO890" s="84"/>
      <c r="ES890" s="84"/>
      <c r="EW890" s="84"/>
    </row>
    <row r="891" customFormat="false" ht="12.75" hidden="false" customHeight="false" outlineLevel="0" collapsed="false">
      <c r="A891" s="37"/>
      <c r="E891" s="83"/>
      <c r="J891" s="84"/>
      <c r="N891" s="84"/>
      <c r="R891" s="84"/>
      <c r="V891" s="84"/>
      <c r="Z891" s="84"/>
      <c r="AD891" s="84"/>
      <c r="AH891" s="84"/>
      <c r="AL891" s="84"/>
      <c r="AP891" s="84"/>
      <c r="AT891" s="84"/>
      <c r="AX891" s="84"/>
      <c r="BB891" s="85"/>
      <c r="BC891" s="84"/>
      <c r="BD891" s="84"/>
      <c r="BF891" s="84"/>
      <c r="BL891" s="84"/>
      <c r="BP891" s="86"/>
      <c r="BV891" s="84"/>
      <c r="CA891" s="84"/>
      <c r="CF891" s="84"/>
      <c r="CK891" s="84"/>
      <c r="CP891" s="84"/>
      <c r="CS891" s="86"/>
      <c r="CT891" s="84"/>
      <c r="CW891" s="86"/>
      <c r="CX891" s="84"/>
      <c r="DA891" s="86"/>
      <c r="DB891" s="84"/>
      <c r="DE891" s="86"/>
      <c r="DF891" s="84"/>
      <c r="DI891" s="86"/>
      <c r="DJ891" s="84"/>
      <c r="DM891" s="86"/>
      <c r="DN891" s="84"/>
      <c r="DQ891" s="86"/>
      <c r="DR891" s="85"/>
      <c r="DS891" s="85"/>
      <c r="DT891" s="84"/>
      <c r="DV891" s="84"/>
      <c r="DW891" s="157"/>
      <c r="EB891" s="84"/>
      <c r="EG891" s="84"/>
      <c r="EK891" s="84"/>
      <c r="EO891" s="84"/>
      <c r="ES891" s="84"/>
      <c r="EW891" s="84"/>
    </row>
    <row r="892" customFormat="false" ht="12.75" hidden="false" customHeight="false" outlineLevel="0" collapsed="false">
      <c r="A892" s="37"/>
      <c r="E892" s="83"/>
      <c r="J892" s="84"/>
      <c r="N892" s="84"/>
      <c r="R892" s="84"/>
      <c r="V892" s="84"/>
      <c r="Z892" s="84"/>
      <c r="AD892" s="84"/>
      <c r="AH892" s="84"/>
      <c r="AL892" s="84"/>
      <c r="AP892" s="84"/>
      <c r="AT892" s="84"/>
      <c r="AX892" s="84"/>
      <c r="BB892" s="85"/>
      <c r="BC892" s="84"/>
      <c r="BD892" s="84"/>
      <c r="BF892" s="84"/>
      <c r="BL892" s="84"/>
      <c r="BP892" s="86"/>
      <c r="BV892" s="84"/>
      <c r="CA892" s="84"/>
      <c r="CF892" s="84"/>
      <c r="CK892" s="84"/>
      <c r="CP892" s="84"/>
      <c r="CS892" s="86"/>
      <c r="CT892" s="84"/>
      <c r="CW892" s="86"/>
      <c r="CX892" s="84"/>
      <c r="DA892" s="86"/>
      <c r="DB892" s="84"/>
      <c r="DE892" s="86"/>
      <c r="DF892" s="84"/>
      <c r="DI892" s="86"/>
      <c r="DJ892" s="84"/>
      <c r="DM892" s="86"/>
      <c r="DN892" s="84"/>
      <c r="DQ892" s="86"/>
      <c r="DR892" s="85"/>
      <c r="DS892" s="85"/>
      <c r="DT892" s="84"/>
      <c r="DV892" s="84"/>
      <c r="DW892" s="157"/>
      <c r="EB892" s="84"/>
      <c r="EG892" s="84"/>
      <c r="EK892" s="84"/>
      <c r="EO892" s="84"/>
      <c r="ES892" s="84"/>
      <c r="EW892" s="84"/>
    </row>
    <row r="893" customFormat="false" ht="12.75" hidden="false" customHeight="false" outlineLevel="0" collapsed="false">
      <c r="A893" s="37"/>
      <c r="E893" s="83"/>
      <c r="J893" s="84"/>
      <c r="N893" s="84"/>
      <c r="R893" s="84"/>
      <c r="V893" s="84"/>
      <c r="Z893" s="84"/>
      <c r="AD893" s="84"/>
      <c r="AH893" s="84"/>
      <c r="AL893" s="84"/>
      <c r="AP893" s="84"/>
      <c r="AT893" s="84"/>
      <c r="AX893" s="84"/>
      <c r="BB893" s="85"/>
      <c r="BC893" s="84"/>
      <c r="BD893" s="84"/>
      <c r="BF893" s="84"/>
      <c r="BL893" s="84"/>
      <c r="BP893" s="86"/>
      <c r="BV893" s="84"/>
      <c r="CA893" s="84"/>
      <c r="CF893" s="84"/>
      <c r="CK893" s="84"/>
      <c r="CP893" s="84"/>
      <c r="CS893" s="86"/>
      <c r="CT893" s="84"/>
      <c r="CW893" s="86"/>
      <c r="CX893" s="84"/>
      <c r="DA893" s="86"/>
      <c r="DB893" s="84"/>
      <c r="DE893" s="86"/>
      <c r="DF893" s="84"/>
      <c r="DI893" s="86"/>
      <c r="DJ893" s="84"/>
      <c r="DM893" s="86"/>
      <c r="DN893" s="84"/>
      <c r="DQ893" s="86"/>
      <c r="DR893" s="85"/>
      <c r="DS893" s="85"/>
      <c r="DT893" s="84"/>
      <c r="DV893" s="84"/>
      <c r="DW893" s="157"/>
      <c r="EB893" s="84"/>
      <c r="EG893" s="84"/>
      <c r="EK893" s="84"/>
      <c r="EO893" s="84"/>
      <c r="ES893" s="84"/>
      <c r="EW893" s="84"/>
    </row>
    <row r="894" customFormat="false" ht="12.75" hidden="false" customHeight="false" outlineLevel="0" collapsed="false">
      <c r="A894" s="37"/>
      <c r="E894" s="83"/>
      <c r="J894" s="84"/>
      <c r="N894" s="84"/>
      <c r="R894" s="84"/>
      <c r="V894" s="84"/>
      <c r="Z894" s="84"/>
      <c r="AD894" s="84"/>
      <c r="AH894" s="84"/>
      <c r="AL894" s="84"/>
      <c r="AP894" s="84"/>
      <c r="AT894" s="84"/>
      <c r="AX894" s="84"/>
      <c r="BB894" s="85"/>
      <c r="BC894" s="84"/>
      <c r="BD894" s="84"/>
      <c r="BF894" s="84"/>
      <c r="BL894" s="84"/>
      <c r="BP894" s="86"/>
      <c r="BV894" s="84"/>
      <c r="CA894" s="84"/>
      <c r="CF894" s="84"/>
      <c r="CK894" s="84"/>
      <c r="CP894" s="84"/>
      <c r="CS894" s="86"/>
      <c r="CT894" s="84"/>
      <c r="CW894" s="86"/>
      <c r="CX894" s="84"/>
      <c r="DA894" s="86"/>
      <c r="DB894" s="84"/>
      <c r="DE894" s="86"/>
      <c r="DF894" s="84"/>
      <c r="DI894" s="86"/>
      <c r="DJ894" s="84"/>
      <c r="DM894" s="86"/>
      <c r="DN894" s="84"/>
      <c r="DQ894" s="86"/>
      <c r="DR894" s="85"/>
      <c r="DS894" s="85"/>
      <c r="DT894" s="84"/>
      <c r="DV894" s="84"/>
      <c r="DW894" s="157"/>
      <c r="EB894" s="84"/>
      <c r="EG894" s="84"/>
      <c r="EK894" s="84"/>
      <c r="EO894" s="84"/>
      <c r="ES894" s="84"/>
      <c r="EW894" s="84"/>
    </row>
    <row r="895" customFormat="false" ht="12.75" hidden="false" customHeight="false" outlineLevel="0" collapsed="false">
      <c r="A895" s="37"/>
      <c r="E895" s="83"/>
      <c r="J895" s="84"/>
      <c r="N895" s="84"/>
      <c r="R895" s="84"/>
      <c r="V895" s="84"/>
      <c r="Z895" s="84"/>
      <c r="AD895" s="84"/>
      <c r="AH895" s="84"/>
      <c r="AL895" s="84"/>
      <c r="AP895" s="84"/>
      <c r="AT895" s="84"/>
      <c r="AX895" s="84"/>
      <c r="BB895" s="85"/>
      <c r="BC895" s="84"/>
      <c r="BD895" s="84"/>
      <c r="BF895" s="84"/>
      <c r="BL895" s="84"/>
      <c r="BP895" s="86"/>
      <c r="BV895" s="84"/>
      <c r="CA895" s="84"/>
      <c r="CF895" s="84"/>
      <c r="CK895" s="84"/>
      <c r="CP895" s="84"/>
      <c r="CS895" s="86"/>
      <c r="CT895" s="84"/>
      <c r="CW895" s="86"/>
      <c r="CX895" s="84"/>
      <c r="DA895" s="86"/>
      <c r="DB895" s="84"/>
      <c r="DE895" s="86"/>
      <c r="DF895" s="84"/>
      <c r="DI895" s="86"/>
      <c r="DJ895" s="84"/>
      <c r="DM895" s="86"/>
      <c r="DN895" s="84"/>
      <c r="DQ895" s="86"/>
      <c r="DR895" s="85"/>
      <c r="DS895" s="85"/>
      <c r="DT895" s="84"/>
      <c r="DV895" s="84"/>
      <c r="DW895" s="157"/>
      <c r="EB895" s="84"/>
      <c r="EG895" s="84"/>
      <c r="EK895" s="84"/>
      <c r="EO895" s="84"/>
      <c r="ES895" s="84"/>
      <c r="EW895" s="84"/>
    </row>
    <row r="896" customFormat="false" ht="12.75" hidden="false" customHeight="false" outlineLevel="0" collapsed="false">
      <c r="A896" s="37"/>
      <c r="E896" s="83"/>
      <c r="J896" s="84"/>
      <c r="N896" s="84"/>
      <c r="R896" s="84"/>
      <c r="V896" s="84"/>
      <c r="Z896" s="84"/>
      <c r="AD896" s="84"/>
      <c r="AH896" s="84"/>
      <c r="AL896" s="84"/>
      <c r="AP896" s="84"/>
      <c r="AT896" s="84"/>
      <c r="AX896" s="84"/>
      <c r="BB896" s="85"/>
      <c r="BC896" s="84"/>
      <c r="BD896" s="84"/>
      <c r="BF896" s="84"/>
      <c r="BL896" s="84"/>
      <c r="BP896" s="86"/>
      <c r="BV896" s="84"/>
      <c r="CA896" s="84"/>
      <c r="CF896" s="84"/>
      <c r="CK896" s="84"/>
      <c r="CP896" s="84"/>
      <c r="CS896" s="86"/>
      <c r="CT896" s="84"/>
      <c r="CW896" s="86"/>
      <c r="CX896" s="84"/>
      <c r="DA896" s="86"/>
      <c r="DB896" s="84"/>
      <c r="DE896" s="86"/>
      <c r="DF896" s="84"/>
      <c r="DI896" s="86"/>
      <c r="DJ896" s="84"/>
      <c r="DM896" s="86"/>
      <c r="DN896" s="84"/>
      <c r="DQ896" s="86"/>
      <c r="DR896" s="85"/>
      <c r="DS896" s="85"/>
      <c r="DT896" s="84"/>
      <c r="DV896" s="84"/>
      <c r="DW896" s="157"/>
      <c r="EB896" s="84"/>
      <c r="EG896" s="84"/>
      <c r="EK896" s="84"/>
      <c r="EO896" s="84"/>
      <c r="ES896" s="84"/>
      <c r="EW896" s="84"/>
    </row>
    <row r="897" customFormat="false" ht="12.75" hidden="false" customHeight="false" outlineLevel="0" collapsed="false">
      <c r="A897" s="37"/>
      <c r="E897" s="83"/>
      <c r="J897" s="84"/>
      <c r="N897" s="84"/>
      <c r="R897" s="84"/>
      <c r="V897" s="84"/>
      <c r="Z897" s="84"/>
      <c r="AD897" s="84"/>
      <c r="AH897" s="84"/>
      <c r="AL897" s="84"/>
      <c r="AP897" s="84"/>
      <c r="AT897" s="84"/>
      <c r="AX897" s="84"/>
      <c r="BB897" s="85"/>
      <c r="BC897" s="84"/>
      <c r="BD897" s="84"/>
      <c r="BF897" s="84"/>
      <c r="BL897" s="84"/>
      <c r="BP897" s="86"/>
      <c r="BV897" s="84"/>
      <c r="CA897" s="84"/>
      <c r="CF897" s="84"/>
      <c r="CK897" s="84"/>
      <c r="CP897" s="84"/>
      <c r="CS897" s="86"/>
      <c r="CT897" s="84"/>
      <c r="CW897" s="86"/>
      <c r="CX897" s="84"/>
      <c r="DA897" s="86"/>
      <c r="DB897" s="84"/>
      <c r="DE897" s="86"/>
      <c r="DF897" s="84"/>
      <c r="DI897" s="86"/>
      <c r="DJ897" s="84"/>
      <c r="DM897" s="86"/>
      <c r="DN897" s="84"/>
      <c r="DQ897" s="86"/>
      <c r="DR897" s="85"/>
      <c r="DS897" s="85"/>
      <c r="DT897" s="84"/>
      <c r="DV897" s="84"/>
      <c r="DW897" s="157"/>
      <c r="EB897" s="84"/>
      <c r="EG897" s="84"/>
      <c r="EK897" s="84"/>
      <c r="EO897" s="84"/>
      <c r="ES897" s="84"/>
      <c r="EW897" s="84"/>
    </row>
    <row r="898" customFormat="false" ht="12.75" hidden="false" customHeight="false" outlineLevel="0" collapsed="false">
      <c r="A898" s="37"/>
      <c r="E898" s="83"/>
      <c r="J898" s="84"/>
      <c r="N898" s="84"/>
      <c r="R898" s="84"/>
      <c r="V898" s="84"/>
      <c r="Z898" s="84"/>
      <c r="AD898" s="84"/>
      <c r="AH898" s="84"/>
      <c r="AL898" s="84"/>
      <c r="AP898" s="84"/>
      <c r="AT898" s="84"/>
      <c r="AX898" s="84"/>
      <c r="BB898" s="85"/>
      <c r="BC898" s="84"/>
      <c r="BD898" s="84"/>
      <c r="BF898" s="84"/>
      <c r="BL898" s="84"/>
      <c r="BP898" s="86"/>
      <c r="BV898" s="84"/>
      <c r="CA898" s="84"/>
      <c r="CF898" s="84"/>
      <c r="CK898" s="84"/>
      <c r="CP898" s="84"/>
      <c r="CS898" s="86"/>
      <c r="CT898" s="84"/>
      <c r="CW898" s="86"/>
      <c r="CX898" s="84"/>
      <c r="DA898" s="86"/>
      <c r="DB898" s="84"/>
      <c r="DE898" s="86"/>
      <c r="DF898" s="84"/>
      <c r="DI898" s="86"/>
      <c r="DJ898" s="84"/>
      <c r="DM898" s="86"/>
      <c r="DN898" s="84"/>
      <c r="DQ898" s="86"/>
      <c r="DR898" s="85"/>
      <c r="DS898" s="85"/>
      <c r="DT898" s="84"/>
      <c r="DV898" s="84"/>
      <c r="DW898" s="157"/>
      <c r="EB898" s="84"/>
      <c r="EG898" s="84"/>
      <c r="EK898" s="84"/>
      <c r="EO898" s="84"/>
      <c r="ES898" s="84"/>
      <c r="EW898" s="84"/>
    </row>
    <row r="899" customFormat="false" ht="12.75" hidden="false" customHeight="false" outlineLevel="0" collapsed="false">
      <c r="A899" s="37"/>
      <c r="E899" s="83"/>
      <c r="J899" s="84"/>
      <c r="N899" s="84"/>
      <c r="R899" s="84"/>
      <c r="V899" s="84"/>
      <c r="Z899" s="84"/>
      <c r="AD899" s="84"/>
      <c r="AH899" s="84"/>
      <c r="AL899" s="84"/>
      <c r="AP899" s="84"/>
      <c r="AT899" s="84"/>
      <c r="AX899" s="84"/>
      <c r="BB899" s="85"/>
      <c r="BC899" s="84"/>
      <c r="BD899" s="84"/>
      <c r="BF899" s="84"/>
      <c r="BL899" s="84"/>
      <c r="BP899" s="86"/>
      <c r="BV899" s="84"/>
      <c r="CA899" s="84"/>
      <c r="CF899" s="84"/>
      <c r="CK899" s="84"/>
      <c r="CP899" s="84"/>
      <c r="CS899" s="86"/>
      <c r="CT899" s="84"/>
      <c r="CW899" s="86"/>
      <c r="CX899" s="84"/>
      <c r="DA899" s="86"/>
      <c r="DB899" s="84"/>
      <c r="DE899" s="86"/>
      <c r="DF899" s="84"/>
      <c r="DI899" s="86"/>
      <c r="DJ899" s="84"/>
      <c r="DM899" s="86"/>
      <c r="DN899" s="84"/>
      <c r="DQ899" s="86"/>
      <c r="DR899" s="85"/>
      <c r="DS899" s="85"/>
      <c r="DT899" s="84"/>
      <c r="DV899" s="84"/>
      <c r="DW899" s="157"/>
      <c r="EB899" s="84"/>
      <c r="EG899" s="84"/>
      <c r="EK899" s="84"/>
      <c r="EO899" s="84"/>
      <c r="ES899" s="84"/>
      <c r="EW899" s="84"/>
    </row>
    <row r="900" customFormat="false" ht="12.75" hidden="false" customHeight="false" outlineLevel="0" collapsed="false">
      <c r="A900" s="37"/>
      <c r="E900" s="83"/>
      <c r="J900" s="84"/>
      <c r="N900" s="84"/>
      <c r="R900" s="84"/>
      <c r="V900" s="84"/>
      <c r="Z900" s="84"/>
      <c r="AD900" s="84"/>
      <c r="AH900" s="84"/>
      <c r="AL900" s="84"/>
      <c r="AP900" s="84"/>
      <c r="AT900" s="84"/>
      <c r="AX900" s="84"/>
      <c r="BB900" s="85"/>
      <c r="BC900" s="84"/>
      <c r="BD900" s="84"/>
      <c r="BF900" s="84"/>
      <c r="BL900" s="84"/>
      <c r="BP900" s="86"/>
      <c r="BV900" s="84"/>
      <c r="CA900" s="84"/>
      <c r="CF900" s="84"/>
      <c r="CK900" s="84"/>
      <c r="CP900" s="84"/>
      <c r="CS900" s="86"/>
      <c r="CT900" s="84"/>
      <c r="CW900" s="86"/>
      <c r="CX900" s="84"/>
      <c r="DA900" s="86"/>
      <c r="DB900" s="84"/>
      <c r="DE900" s="86"/>
      <c r="DF900" s="84"/>
      <c r="DI900" s="86"/>
      <c r="DJ900" s="84"/>
      <c r="DM900" s="86"/>
      <c r="DN900" s="84"/>
      <c r="DQ900" s="86"/>
      <c r="DR900" s="85"/>
      <c r="DS900" s="85"/>
      <c r="DT900" s="84"/>
      <c r="DV900" s="84"/>
      <c r="DW900" s="157"/>
      <c r="EB900" s="84"/>
      <c r="EG900" s="84"/>
      <c r="EK900" s="84"/>
      <c r="EO900" s="84"/>
      <c r="ES900" s="84"/>
      <c r="EW900" s="84"/>
    </row>
    <row r="901" customFormat="false" ht="12.75" hidden="false" customHeight="false" outlineLevel="0" collapsed="false">
      <c r="A901" s="37"/>
      <c r="E901" s="83"/>
      <c r="J901" s="84"/>
      <c r="N901" s="84"/>
      <c r="R901" s="84"/>
      <c r="V901" s="84"/>
      <c r="Z901" s="84"/>
      <c r="AD901" s="84"/>
      <c r="AH901" s="84"/>
      <c r="AL901" s="84"/>
      <c r="AP901" s="84"/>
      <c r="AT901" s="84"/>
      <c r="AX901" s="84"/>
      <c r="BB901" s="85"/>
      <c r="BC901" s="84"/>
      <c r="BD901" s="84"/>
      <c r="BF901" s="84"/>
      <c r="BL901" s="84"/>
      <c r="BP901" s="86"/>
      <c r="BV901" s="84"/>
      <c r="CA901" s="84"/>
      <c r="CF901" s="84"/>
      <c r="CK901" s="84"/>
      <c r="CP901" s="84"/>
      <c r="CS901" s="86"/>
      <c r="CT901" s="84"/>
      <c r="CW901" s="86"/>
      <c r="CX901" s="84"/>
      <c r="DA901" s="86"/>
      <c r="DB901" s="84"/>
      <c r="DE901" s="86"/>
      <c r="DF901" s="84"/>
      <c r="DI901" s="86"/>
      <c r="DJ901" s="84"/>
      <c r="DM901" s="86"/>
      <c r="DN901" s="84"/>
      <c r="DQ901" s="86"/>
      <c r="DR901" s="85"/>
      <c r="DS901" s="85"/>
      <c r="DT901" s="84"/>
      <c r="DV901" s="84"/>
      <c r="DW901" s="157"/>
      <c r="EB901" s="84"/>
      <c r="EG901" s="84"/>
      <c r="EK901" s="84"/>
      <c r="EO901" s="84"/>
      <c r="ES901" s="84"/>
      <c r="EW901" s="84"/>
    </row>
    <row r="902" customFormat="false" ht="12.75" hidden="false" customHeight="false" outlineLevel="0" collapsed="false">
      <c r="A902" s="37"/>
      <c r="E902" s="83"/>
      <c r="J902" s="84"/>
      <c r="N902" s="84"/>
      <c r="R902" s="84"/>
      <c r="V902" s="84"/>
      <c r="Z902" s="84"/>
      <c r="AD902" s="84"/>
      <c r="AH902" s="84"/>
      <c r="AL902" s="84"/>
      <c r="AP902" s="84"/>
      <c r="AT902" s="84"/>
      <c r="AX902" s="84"/>
      <c r="BB902" s="85"/>
      <c r="BC902" s="84"/>
      <c r="BD902" s="84"/>
      <c r="BF902" s="84"/>
      <c r="BL902" s="84"/>
      <c r="BP902" s="86"/>
      <c r="BV902" s="84"/>
      <c r="CA902" s="84"/>
      <c r="CF902" s="84"/>
      <c r="CK902" s="84"/>
      <c r="CP902" s="84"/>
      <c r="CS902" s="86"/>
      <c r="CT902" s="84"/>
      <c r="CW902" s="86"/>
      <c r="CX902" s="84"/>
      <c r="DA902" s="86"/>
      <c r="DB902" s="84"/>
      <c r="DE902" s="86"/>
      <c r="DF902" s="84"/>
      <c r="DI902" s="86"/>
      <c r="DJ902" s="84"/>
      <c r="DM902" s="86"/>
      <c r="DN902" s="84"/>
      <c r="DQ902" s="86"/>
      <c r="DR902" s="85"/>
      <c r="DS902" s="85"/>
      <c r="DT902" s="84"/>
      <c r="DV902" s="84"/>
      <c r="DW902" s="157"/>
      <c r="EB902" s="84"/>
      <c r="EG902" s="84"/>
      <c r="EK902" s="84"/>
      <c r="EO902" s="84"/>
      <c r="ES902" s="84"/>
      <c r="EW902" s="84"/>
    </row>
    <row r="903" customFormat="false" ht="12.75" hidden="false" customHeight="false" outlineLevel="0" collapsed="false">
      <c r="A903" s="37"/>
      <c r="E903" s="83"/>
      <c r="J903" s="84"/>
      <c r="N903" s="84"/>
      <c r="R903" s="84"/>
      <c r="V903" s="84"/>
      <c r="Z903" s="84"/>
      <c r="AD903" s="84"/>
      <c r="AH903" s="84"/>
      <c r="AL903" s="84"/>
      <c r="AP903" s="84"/>
      <c r="AT903" s="84"/>
      <c r="AX903" s="84"/>
      <c r="BB903" s="85"/>
      <c r="BC903" s="84"/>
      <c r="BD903" s="84"/>
      <c r="BF903" s="84"/>
      <c r="BL903" s="84"/>
      <c r="BP903" s="86"/>
      <c r="BV903" s="84"/>
      <c r="CA903" s="84"/>
      <c r="CF903" s="84"/>
      <c r="CK903" s="84"/>
      <c r="CP903" s="84"/>
      <c r="CS903" s="86"/>
      <c r="CT903" s="84"/>
      <c r="CW903" s="86"/>
      <c r="CX903" s="84"/>
      <c r="DA903" s="86"/>
      <c r="DB903" s="84"/>
      <c r="DE903" s="86"/>
      <c r="DF903" s="84"/>
      <c r="DI903" s="86"/>
      <c r="DJ903" s="84"/>
      <c r="DM903" s="86"/>
      <c r="DN903" s="84"/>
      <c r="DQ903" s="86"/>
      <c r="DR903" s="85"/>
      <c r="DS903" s="85"/>
      <c r="DT903" s="84"/>
      <c r="DV903" s="84"/>
      <c r="DW903" s="157"/>
      <c r="EB903" s="84"/>
      <c r="EG903" s="84"/>
      <c r="EK903" s="84"/>
      <c r="EO903" s="84"/>
      <c r="ES903" s="84"/>
      <c r="EW903" s="84"/>
    </row>
    <row r="904" customFormat="false" ht="12.75" hidden="false" customHeight="false" outlineLevel="0" collapsed="false">
      <c r="A904" s="37"/>
      <c r="E904" s="83"/>
      <c r="J904" s="84"/>
      <c r="N904" s="84"/>
      <c r="R904" s="84"/>
      <c r="V904" s="84"/>
      <c r="Z904" s="84"/>
      <c r="AD904" s="84"/>
      <c r="AH904" s="84"/>
      <c r="AL904" s="84"/>
      <c r="AP904" s="84"/>
      <c r="AT904" s="84"/>
      <c r="AX904" s="84"/>
      <c r="BB904" s="85"/>
      <c r="BC904" s="84"/>
      <c r="BD904" s="84"/>
      <c r="BF904" s="84"/>
      <c r="BL904" s="84"/>
      <c r="BP904" s="86"/>
      <c r="BV904" s="84"/>
      <c r="CA904" s="84"/>
      <c r="CF904" s="84"/>
      <c r="CK904" s="84"/>
      <c r="CP904" s="84"/>
      <c r="CS904" s="86"/>
      <c r="CT904" s="84"/>
      <c r="CW904" s="86"/>
      <c r="CX904" s="84"/>
      <c r="DA904" s="86"/>
      <c r="DB904" s="84"/>
      <c r="DE904" s="86"/>
      <c r="DF904" s="84"/>
      <c r="DI904" s="86"/>
      <c r="DJ904" s="84"/>
      <c r="DM904" s="86"/>
      <c r="DN904" s="84"/>
      <c r="DQ904" s="86"/>
      <c r="DR904" s="85"/>
      <c r="DS904" s="85"/>
      <c r="DT904" s="84"/>
      <c r="DV904" s="84"/>
      <c r="DW904" s="157"/>
      <c r="EB904" s="84"/>
      <c r="EG904" s="84"/>
      <c r="EK904" s="84"/>
      <c r="EO904" s="84"/>
      <c r="ES904" s="84"/>
      <c r="EW904" s="84"/>
    </row>
    <row r="905" customFormat="false" ht="12.75" hidden="false" customHeight="false" outlineLevel="0" collapsed="false">
      <c r="A905" s="37"/>
      <c r="E905" s="83"/>
      <c r="J905" s="84"/>
      <c r="N905" s="84"/>
      <c r="R905" s="84"/>
      <c r="V905" s="84"/>
      <c r="Z905" s="84"/>
      <c r="AD905" s="84"/>
      <c r="AH905" s="84"/>
      <c r="AL905" s="84"/>
      <c r="AP905" s="84"/>
      <c r="AT905" s="84"/>
      <c r="AX905" s="84"/>
      <c r="BB905" s="85"/>
      <c r="BC905" s="84"/>
      <c r="BD905" s="84"/>
      <c r="BF905" s="84"/>
      <c r="BL905" s="84"/>
      <c r="BP905" s="86"/>
      <c r="BV905" s="84"/>
      <c r="CA905" s="84"/>
      <c r="CF905" s="84"/>
      <c r="CK905" s="84"/>
      <c r="CP905" s="84"/>
      <c r="CS905" s="86"/>
      <c r="CT905" s="84"/>
      <c r="CW905" s="86"/>
      <c r="CX905" s="84"/>
      <c r="DA905" s="86"/>
      <c r="DB905" s="84"/>
      <c r="DE905" s="86"/>
      <c r="DF905" s="84"/>
      <c r="DI905" s="86"/>
      <c r="DJ905" s="84"/>
      <c r="DM905" s="86"/>
      <c r="DN905" s="84"/>
      <c r="DQ905" s="86"/>
      <c r="DR905" s="85"/>
      <c r="DS905" s="85"/>
      <c r="DT905" s="84"/>
      <c r="DV905" s="84"/>
      <c r="DW905" s="157"/>
      <c r="EB905" s="84"/>
      <c r="EG905" s="84"/>
      <c r="EK905" s="84"/>
      <c r="EO905" s="84"/>
      <c r="ES905" s="84"/>
      <c r="EW905" s="84"/>
    </row>
    <row r="906" customFormat="false" ht="12.75" hidden="false" customHeight="false" outlineLevel="0" collapsed="false">
      <c r="A906" s="37"/>
      <c r="E906" s="83"/>
      <c r="J906" s="84"/>
      <c r="N906" s="84"/>
      <c r="R906" s="84"/>
      <c r="V906" s="84"/>
      <c r="Z906" s="84"/>
      <c r="AD906" s="84"/>
      <c r="AH906" s="84"/>
      <c r="AL906" s="84"/>
      <c r="AP906" s="84"/>
      <c r="AT906" s="84"/>
      <c r="AX906" s="84"/>
      <c r="BB906" s="85"/>
      <c r="BC906" s="84"/>
      <c r="BD906" s="84"/>
      <c r="BF906" s="84"/>
      <c r="BL906" s="84"/>
      <c r="BP906" s="86"/>
      <c r="BV906" s="84"/>
      <c r="CA906" s="84"/>
      <c r="CF906" s="84"/>
      <c r="CK906" s="84"/>
      <c r="CP906" s="84"/>
      <c r="CS906" s="86"/>
      <c r="CT906" s="84"/>
      <c r="CW906" s="86"/>
      <c r="CX906" s="84"/>
      <c r="DA906" s="86"/>
      <c r="DB906" s="84"/>
      <c r="DE906" s="86"/>
      <c r="DF906" s="84"/>
      <c r="DI906" s="86"/>
      <c r="DJ906" s="84"/>
      <c r="DM906" s="86"/>
      <c r="DN906" s="84"/>
      <c r="DQ906" s="86"/>
      <c r="DR906" s="85"/>
      <c r="DS906" s="85"/>
      <c r="DT906" s="84"/>
      <c r="DV906" s="84"/>
      <c r="DW906" s="157"/>
      <c r="EB906" s="84"/>
      <c r="EG906" s="84"/>
      <c r="EK906" s="84"/>
      <c r="EO906" s="84"/>
      <c r="ES906" s="84"/>
      <c r="EW906" s="84"/>
    </row>
    <row r="907" customFormat="false" ht="12.75" hidden="false" customHeight="false" outlineLevel="0" collapsed="false">
      <c r="A907" s="37"/>
      <c r="E907" s="83"/>
      <c r="J907" s="84"/>
      <c r="N907" s="84"/>
      <c r="R907" s="84"/>
      <c r="V907" s="84"/>
      <c r="Z907" s="84"/>
      <c r="AD907" s="84"/>
      <c r="AH907" s="84"/>
      <c r="AL907" s="84"/>
      <c r="AP907" s="84"/>
      <c r="AT907" s="84"/>
      <c r="AX907" s="84"/>
      <c r="BB907" s="85"/>
      <c r="BC907" s="84"/>
      <c r="BD907" s="84"/>
      <c r="BF907" s="84"/>
      <c r="BL907" s="84"/>
      <c r="BP907" s="86"/>
      <c r="BV907" s="84"/>
      <c r="CA907" s="84"/>
      <c r="CF907" s="84"/>
      <c r="CK907" s="84"/>
      <c r="CP907" s="84"/>
      <c r="CS907" s="86"/>
      <c r="CT907" s="84"/>
      <c r="CW907" s="86"/>
      <c r="CX907" s="84"/>
      <c r="DA907" s="86"/>
      <c r="DB907" s="84"/>
      <c r="DE907" s="86"/>
      <c r="DF907" s="84"/>
      <c r="DI907" s="86"/>
      <c r="DJ907" s="84"/>
      <c r="DM907" s="86"/>
      <c r="DN907" s="84"/>
      <c r="DQ907" s="86"/>
      <c r="DR907" s="85"/>
      <c r="DS907" s="85"/>
      <c r="DT907" s="84"/>
      <c r="DV907" s="84"/>
      <c r="DW907" s="157"/>
      <c r="EB907" s="84"/>
      <c r="EG907" s="84"/>
      <c r="EK907" s="84"/>
      <c r="EO907" s="84"/>
      <c r="ES907" s="84"/>
      <c r="EW907" s="84"/>
    </row>
    <row r="908" customFormat="false" ht="12.75" hidden="false" customHeight="false" outlineLevel="0" collapsed="false">
      <c r="A908" s="37"/>
      <c r="E908" s="83"/>
      <c r="J908" s="84"/>
      <c r="N908" s="84"/>
      <c r="R908" s="84"/>
      <c r="V908" s="84"/>
      <c r="Z908" s="84"/>
      <c r="AD908" s="84"/>
      <c r="AH908" s="84"/>
      <c r="AL908" s="84"/>
      <c r="AP908" s="84"/>
      <c r="AT908" s="84"/>
      <c r="AX908" s="84"/>
      <c r="BB908" s="85"/>
      <c r="BC908" s="84"/>
      <c r="BD908" s="84"/>
      <c r="BF908" s="84"/>
      <c r="BL908" s="84"/>
      <c r="BP908" s="86"/>
      <c r="BV908" s="84"/>
      <c r="CA908" s="84"/>
      <c r="CF908" s="84"/>
      <c r="CK908" s="84"/>
      <c r="CP908" s="84"/>
      <c r="CS908" s="86"/>
      <c r="CT908" s="84"/>
      <c r="CW908" s="86"/>
      <c r="CX908" s="84"/>
      <c r="DA908" s="86"/>
      <c r="DB908" s="84"/>
      <c r="DE908" s="86"/>
      <c r="DF908" s="84"/>
      <c r="DI908" s="86"/>
      <c r="DJ908" s="84"/>
      <c r="DM908" s="86"/>
      <c r="DN908" s="84"/>
      <c r="DQ908" s="86"/>
      <c r="DR908" s="85"/>
      <c r="DS908" s="85"/>
      <c r="DT908" s="84"/>
      <c r="DV908" s="84"/>
      <c r="DW908" s="157"/>
      <c r="EB908" s="84"/>
      <c r="EG908" s="84"/>
      <c r="EK908" s="84"/>
      <c r="EO908" s="84"/>
      <c r="ES908" s="84"/>
      <c r="EW908" s="84"/>
    </row>
    <row r="909" customFormat="false" ht="12.75" hidden="false" customHeight="false" outlineLevel="0" collapsed="false">
      <c r="A909" s="37"/>
      <c r="E909" s="83"/>
      <c r="J909" s="84"/>
      <c r="N909" s="84"/>
      <c r="R909" s="84"/>
      <c r="V909" s="84"/>
      <c r="Z909" s="84"/>
      <c r="AD909" s="84"/>
      <c r="AH909" s="84"/>
      <c r="AL909" s="84"/>
      <c r="AP909" s="84"/>
      <c r="AT909" s="84"/>
      <c r="AX909" s="84"/>
      <c r="BB909" s="85"/>
      <c r="BC909" s="84"/>
      <c r="BD909" s="84"/>
      <c r="BF909" s="84"/>
      <c r="BL909" s="84"/>
      <c r="BP909" s="86"/>
      <c r="BV909" s="84"/>
      <c r="CA909" s="84"/>
      <c r="CF909" s="84"/>
      <c r="CK909" s="84"/>
      <c r="CP909" s="84"/>
      <c r="CS909" s="86"/>
      <c r="CT909" s="84"/>
      <c r="CW909" s="86"/>
      <c r="CX909" s="84"/>
      <c r="DA909" s="86"/>
      <c r="DB909" s="84"/>
      <c r="DE909" s="86"/>
      <c r="DF909" s="84"/>
      <c r="DI909" s="86"/>
      <c r="DJ909" s="84"/>
      <c r="DM909" s="86"/>
      <c r="DN909" s="84"/>
      <c r="DQ909" s="86"/>
      <c r="DR909" s="85"/>
      <c r="DS909" s="85"/>
      <c r="DT909" s="84"/>
      <c r="DV909" s="84"/>
      <c r="DW909" s="157"/>
      <c r="EB909" s="84"/>
      <c r="EG909" s="84"/>
      <c r="EK909" s="84"/>
      <c r="EO909" s="84"/>
      <c r="ES909" s="84"/>
      <c r="EW909" s="84"/>
    </row>
    <row r="910" customFormat="false" ht="12.75" hidden="false" customHeight="false" outlineLevel="0" collapsed="false">
      <c r="A910" s="37"/>
      <c r="E910" s="83"/>
      <c r="J910" s="84"/>
      <c r="N910" s="84"/>
      <c r="R910" s="84"/>
      <c r="V910" s="84"/>
      <c r="Z910" s="84"/>
      <c r="AD910" s="84"/>
      <c r="AH910" s="84"/>
      <c r="AL910" s="84"/>
      <c r="AP910" s="84"/>
      <c r="AT910" s="84"/>
      <c r="AX910" s="84"/>
      <c r="BB910" s="85"/>
      <c r="BC910" s="84"/>
      <c r="BD910" s="84"/>
      <c r="BF910" s="84"/>
      <c r="BL910" s="84"/>
      <c r="BP910" s="86"/>
      <c r="BV910" s="84"/>
      <c r="CA910" s="84"/>
      <c r="CF910" s="84"/>
      <c r="CK910" s="84"/>
      <c r="CP910" s="84"/>
      <c r="CS910" s="86"/>
      <c r="CT910" s="84"/>
      <c r="CW910" s="86"/>
      <c r="CX910" s="84"/>
      <c r="DA910" s="86"/>
      <c r="DB910" s="84"/>
      <c r="DE910" s="86"/>
      <c r="DF910" s="84"/>
      <c r="DI910" s="86"/>
      <c r="DJ910" s="84"/>
      <c r="DM910" s="86"/>
      <c r="DN910" s="84"/>
      <c r="DQ910" s="86"/>
      <c r="DR910" s="85"/>
      <c r="DS910" s="85"/>
      <c r="DT910" s="84"/>
      <c r="DV910" s="84"/>
      <c r="DW910" s="157"/>
      <c r="EB910" s="84"/>
      <c r="EG910" s="84"/>
      <c r="EK910" s="84"/>
      <c r="EO910" s="84"/>
      <c r="ES910" s="84"/>
      <c r="EW910" s="84"/>
    </row>
    <row r="911" customFormat="false" ht="12.75" hidden="false" customHeight="false" outlineLevel="0" collapsed="false">
      <c r="A911" s="37"/>
      <c r="E911" s="83"/>
      <c r="J911" s="84"/>
      <c r="N911" s="84"/>
      <c r="R911" s="84"/>
      <c r="V911" s="84"/>
      <c r="Z911" s="84"/>
      <c r="AD911" s="84"/>
      <c r="AH911" s="84"/>
      <c r="AL911" s="84"/>
      <c r="AP911" s="84"/>
      <c r="AT911" s="84"/>
      <c r="AX911" s="84"/>
      <c r="BB911" s="85"/>
      <c r="BC911" s="84"/>
      <c r="BD911" s="84"/>
      <c r="BF911" s="84"/>
      <c r="BL911" s="84"/>
      <c r="BP911" s="86"/>
      <c r="BV911" s="84"/>
      <c r="CA911" s="84"/>
      <c r="CF911" s="84"/>
      <c r="CK911" s="84"/>
      <c r="CP911" s="84"/>
      <c r="CS911" s="86"/>
      <c r="CT911" s="84"/>
      <c r="CW911" s="86"/>
      <c r="CX911" s="84"/>
      <c r="DA911" s="86"/>
      <c r="DB911" s="84"/>
      <c r="DE911" s="86"/>
      <c r="DF911" s="84"/>
      <c r="DI911" s="86"/>
      <c r="DJ911" s="84"/>
      <c r="DM911" s="86"/>
      <c r="DN911" s="84"/>
      <c r="DQ911" s="86"/>
      <c r="DR911" s="85"/>
      <c r="DS911" s="85"/>
      <c r="DT911" s="84"/>
      <c r="DV911" s="84"/>
      <c r="DW911" s="157"/>
      <c r="EB911" s="84"/>
      <c r="EG911" s="84"/>
      <c r="EK911" s="84"/>
      <c r="EO911" s="84"/>
      <c r="ES911" s="84"/>
      <c r="EW911" s="84"/>
    </row>
    <row r="912" customFormat="false" ht="12.75" hidden="false" customHeight="false" outlineLevel="0" collapsed="false">
      <c r="A912" s="37"/>
      <c r="E912" s="83"/>
      <c r="J912" s="84"/>
      <c r="N912" s="84"/>
      <c r="R912" s="84"/>
      <c r="V912" s="84"/>
      <c r="Z912" s="84"/>
      <c r="AD912" s="84"/>
      <c r="AH912" s="84"/>
      <c r="AL912" s="84"/>
      <c r="AP912" s="84"/>
      <c r="AT912" s="84"/>
      <c r="AX912" s="84"/>
      <c r="BB912" s="85"/>
      <c r="BC912" s="84"/>
      <c r="BD912" s="84"/>
      <c r="BF912" s="84"/>
      <c r="BL912" s="84"/>
      <c r="BP912" s="86"/>
      <c r="BV912" s="84"/>
      <c r="CA912" s="84"/>
      <c r="CF912" s="84"/>
      <c r="CK912" s="84"/>
      <c r="CP912" s="84"/>
      <c r="CS912" s="86"/>
      <c r="CT912" s="84"/>
      <c r="CW912" s="86"/>
      <c r="CX912" s="84"/>
      <c r="DA912" s="86"/>
      <c r="DB912" s="84"/>
      <c r="DE912" s="86"/>
      <c r="DF912" s="84"/>
      <c r="DI912" s="86"/>
      <c r="DJ912" s="84"/>
      <c r="DM912" s="86"/>
      <c r="DN912" s="84"/>
      <c r="DQ912" s="86"/>
      <c r="DR912" s="85"/>
      <c r="DS912" s="85"/>
      <c r="DT912" s="84"/>
      <c r="DV912" s="84"/>
      <c r="DW912" s="157"/>
      <c r="EB912" s="84"/>
      <c r="EG912" s="84"/>
      <c r="EK912" s="84"/>
      <c r="EO912" s="84"/>
      <c r="ES912" s="84"/>
      <c r="EW912" s="84"/>
    </row>
    <row r="913" customFormat="false" ht="12.75" hidden="false" customHeight="false" outlineLevel="0" collapsed="false">
      <c r="A913" s="37"/>
      <c r="E913" s="83"/>
      <c r="J913" s="84"/>
      <c r="N913" s="84"/>
      <c r="R913" s="84"/>
      <c r="V913" s="84"/>
      <c r="Z913" s="84"/>
      <c r="AD913" s="84"/>
      <c r="AH913" s="84"/>
      <c r="AL913" s="84"/>
      <c r="AP913" s="84"/>
      <c r="AT913" s="84"/>
      <c r="AX913" s="84"/>
      <c r="BB913" s="85"/>
      <c r="BC913" s="84"/>
      <c r="BD913" s="84"/>
      <c r="BF913" s="84"/>
      <c r="BL913" s="84"/>
      <c r="BP913" s="86"/>
      <c r="BV913" s="84"/>
      <c r="CA913" s="84"/>
      <c r="CF913" s="84"/>
      <c r="CK913" s="84"/>
      <c r="CP913" s="84"/>
      <c r="CS913" s="86"/>
      <c r="CT913" s="84"/>
      <c r="CW913" s="86"/>
      <c r="CX913" s="84"/>
      <c r="DA913" s="86"/>
      <c r="DB913" s="84"/>
      <c r="DE913" s="86"/>
      <c r="DF913" s="84"/>
      <c r="DI913" s="86"/>
      <c r="DJ913" s="84"/>
      <c r="DM913" s="86"/>
      <c r="DN913" s="84"/>
      <c r="DQ913" s="86"/>
      <c r="DR913" s="85"/>
      <c r="DS913" s="85"/>
      <c r="DT913" s="84"/>
      <c r="DV913" s="84"/>
      <c r="DW913" s="157"/>
      <c r="EB913" s="84"/>
      <c r="EG913" s="84"/>
      <c r="EK913" s="84"/>
      <c r="EO913" s="84"/>
      <c r="ES913" s="84"/>
      <c r="EW913" s="84"/>
    </row>
    <row r="914" customFormat="false" ht="12.75" hidden="false" customHeight="false" outlineLevel="0" collapsed="false">
      <c r="A914" s="37"/>
      <c r="E914" s="83"/>
      <c r="J914" s="84"/>
      <c r="N914" s="84"/>
      <c r="R914" s="84"/>
      <c r="V914" s="84"/>
      <c r="Z914" s="84"/>
      <c r="AD914" s="84"/>
      <c r="AH914" s="84"/>
      <c r="AL914" s="84"/>
      <c r="AP914" s="84"/>
      <c r="AT914" s="84"/>
      <c r="AX914" s="84"/>
      <c r="BB914" s="85"/>
      <c r="BC914" s="84"/>
      <c r="BD914" s="84"/>
      <c r="BF914" s="84"/>
      <c r="BL914" s="84"/>
      <c r="BP914" s="86"/>
      <c r="BV914" s="84"/>
      <c r="CA914" s="84"/>
      <c r="CF914" s="84"/>
      <c r="CK914" s="84"/>
      <c r="CP914" s="84"/>
      <c r="CS914" s="86"/>
      <c r="CT914" s="84"/>
      <c r="CW914" s="86"/>
      <c r="CX914" s="84"/>
      <c r="DA914" s="86"/>
      <c r="DB914" s="84"/>
      <c r="DE914" s="86"/>
      <c r="DF914" s="84"/>
      <c r="DI914" s="86"/>
      <c r="DJ914" s="84"/>
      <c r="DM914" s="86"/>
      <c r="DN914" s="84"/>
      <c r="DQ914" s="86"/>
      <c r="DR914" s="85"/>
      <c r="DS914" s="85"/>
      <c r="DT914" s="84"/>
      <c r="DV914" s="84"/>
      <c r="DW914" s="157"/>
      <c r="EB914" s="84"/>
      <c r="EG914" s="84"/>
      <c r="EK914" s="84"/>
      <c r="EO914" s="84"/>
      <c r="ES914" s="84"/>
      <c r="EW914" s="84"/>
    </row>
    <row r="915" customFormat="false" ht="12.75" hidden="false" customHeight="false" outlineLevel="0" collapsed="false">
      <c r="A915" s="37"/>
      <c r="E915" s="83"/>
      <c r="J915" s="84"/>
      <c r="N915" s="84"/>
      <c r="R915" s="84"/>
      <c r="V915" s="84"/>
      <c r="Z915" s="84"/>
      <c r="AD915" s="84"/>
      <c r="AH915" s="84"/>
      <c r="AL915" s="84"/>
      <c r="AP915" s="84"/>
      <c r="AT915" s="84"/>
      <c r="AX915" s="84"/>
      <c r="BB915" s="85"/>
      <c r="BC915" s="84"/>
      <c r="BD915" s="84"/>
      <c r="BF915" s="84"/>
      <c r="BL915" s="84"/>
      <c r="BP915" s="86"/>
      <c r="BV915" s="84"/>
      <c r="CA915" s="84"/>
      <c r="CF915" s="84"/>
      <c r="CK915" s="84"/>
      <c r="CP915" s="84"/>
      <c r="CS915" s="86"/>
      <c r="CT915" s="84"/>
      <c r="CW915" s="86"/>
      <c r="CX915" s="84"/>
      <c r="DA915" s="86"/>
      <c r="DB915" s="84"/>
      <c r="DE915" s="86"/>
      <c r="DF915" s="84"/>
      <c r="DI915" s="86"/>
      <c r="DJ915" s="84"/>
      <c r="DM915" s="86"/>
      <c r="DN915" s="84"/>
      <c r="DQ915" s="86"/>
      <c r="DR915" s="85"/>
      <c r="DS915" s="85"/>
      <c r="DT915" s="84"/>
      <c r="DV915" s="84"/>
      <c r="DW915" s="157"/>
      <c r="EB915" s="84"/>
      <c r="EG915" s="84"/>
      <c r="EK915" s="84"/>
      <c r="EO915" s="84"/>
      <c r="ES915" s="84"/>
      <c r="EW915" s="84"/>
    </row>
    <row r="916" customFormat="false" ht="12.75" hidden="false" customHeight="false" outlineLevel="0" collapsed="false">
      <c r="A916" s="37"/>
      <c r="E916" s="83"/>
      <c r="J916" s="84"/>
      <c r="N916" s="84"/>
      <c r="R916" s="84"/>
      <c r="V916" s="84"/>
      <c r="Z916" s="84"/>
      <c r="AD916" s="84"/>
      <c r="AH916" s="84"/>
      <c r="AL916" s="84"/>
      <c r="AP916" s="84"/>
      <c r="AT916" s="84"/>
      <c r="AX916" s="84"/>
      <c r="BB916" s="85"/>
      <c r="BC916" s="84"/>
      <c r="BD916" s="84"/>
      <c r="BF916" s="84"/>
      <c r="BL916" s="84"/>
      <c r="BP916" s="86"/>
      <c r="BV916" s="84"/>
      <c r="CA916" s="84"/>
      <c r="CF916" s="84"/>
      <c r="CK916" s="84"/>
      <c r="CP916" s="84"/>
      <c r="CS916" s="86"/>
      <c r="CT916" s="84"/>
      <c r="CW916" s="86"/>
      <c r="CX916" s="84"/>
      <c r="DA916" s="86"/>
      <c r="DB916" s="84"/>
      <c r="DE916" s="86"/>
      <c r="DF916" s="84"/>
      <c r="DI916" s="86"/>
      <c r="DJ916" s="84"/>
      <c r="DM916" s="86"/>
      <c r="DN916" s="84"/>
      <c r="DQ916" s="86"/>
      <c r="DR916" s="85"/>
      <c r="DS916" s="85"/>
      <c r="DT916" s="84"/>
      <c r="DV916" s="84"/>
      <c r="DW916" s="157"/>
      <c r="EB916" s="84"/>
      <c r="EG916" s="84"/>
      <c r="EK916" s="84"/>
      <c r="EO916" s="84"/>
      <c r="ES916" s="84"/>
      <c r="EW916" s="84"/>
    </row>
    <row r="917" customFormat="false" ht="12.75" hidden="false" customHeight="false" outlineLevel="0" collapsed="false">
      <c r="A917" s="37"/>
      <c r="E917" s="83"/>
      <c r="J917" s="84"/>
      <c r="N917" s="84"/>
      <c r="R917" s="84"/>
      <c r="V917" s="84"/>
      <c r="Z917" s="84"/>
      <c r="AD917" s="84"/>
      <c r="AH917" s="84"/>
      <c r="AL917" s="84"/>
      <c r="AP917" s="84"/>
      <c r="AT917" s="84"/>
      <c r="AX917" s="84"/>
      <c r="BB917" s="85"/>
      <c r="BC917" s="84"/>
      <c r="BD917" s="84"/>
      <c r="BF917" s="84"/>
      <c r="BL917" s="84"/>
      <c r="BP917" s="86"/>
      <c r="BV917" s="84"/>
      <c r="CA917" s="84"/>
      <c r="CF917" s="84"/>
      <c r="CK917" s="84"/>
      <c r="CP917" s="84"/>
      <c r="CS917" s="86"/>
      <c r="CT917" s="84"/>
      <c r="CW917" s="86"/>
      <c r="CX917" s="84"/>
      <c r="DA917" s="86"/>
      <c r="DB917" s="84"/>
      <c r="DE917" s="86"/>
      <c r="DF917" s="84"/>
      <c r="DI917" s="86"/>
      <c r="DJ917" s="84"/>
      <c r="DM917" s="86"/>
      <c r="DN917" s="84"/>
      <c r="DQ917" s="86"/>
      <c r="DR917" s="85"/>
      <c r="DS917" s="85"/>
      <c r="DT917" s="84"/>
      <c r="DV917" s="84"/>
      <c r="DW917" s="157"/>
      <c r="EB917" s="84"/>
      <c r="EG917" s="84"/>
      <c r="EK917" s="84"/>
      <c r="EO917" s="84"/>
      <c r="ES917" s="84"/>
      <c r="EW917" s="84"/>
    </row>
    <row r="918" customFormat="false" ht="12.75" hidden="false" customHeight="false" outlineLevel="0" collapsed="false">
      <c r="A918" s="37"/>
      <c r="E918" s="83"/>
      <c r="J918" s="84"/>
      <c r="N918" s="84"/>
      <c r="R918" s="84"/>
      <c r="V918" s="84"/>
      <c r="Z918" s="84"/>
      <c r="AD918" s="84"/>
      <c r="AH918" s="84"/>
      <c r="AL918" s="84"/>
      <c r="AP918" s="84"/>
      <c r="AT918" s="84"/>
      <c r="AX918" s="84"/>
      <c r="BB918" s="85"/>
      <c r="BC918" s="84"/>
      <c r="BD918" s="84"/>
      <c r="BF918" s="84"/>
      <c r="BL918" s="84"/>
      <c r="BP918" s="86"/>
      <c r="BV918" s="84"/>
      <c r="CA918" s="84"/>
      <c r="CF918" s="84"/>
      <c r="CK918" s="84"/>
      <c r="CP918" s="84"/>
      <c r="CS918" s="86"/>
      <c r="CT918" s="84"/>
      <c r="CW918" s="86"/>
      <c r="CX918" s="84"/>
      <c r="DA918" s="86"/>
      <c r="DB918" s="84"/>
      <c r="DE918" s="86"/>
      <c r="DF918" s="84"/>
      <c r="DI918" s="86"/>
      <c r="DJ918" s="84"/>
      <c r="DM918" s="86"/>
      <c r="DN918" s="84"/>
      <c r="DQ918" s="86"/>
      <c r="DR918" s="85"/>
      <c r="DS918" s="85"/>
      <c r="DT918" s="84"/>
      <c r="DV918" s="84"/>
      <c r="DW918" s="157"/>
      <c r="EB918" s="84"/>
      <c r="EG918" s="84"/>
      <c r="EK918" s="84"/>
      <c r="EO918" s="84"/>
      <c r="ES918" s="84"/>
      <c r="EW918" s="84"/>
    </row>
    <row r="919" customFormat="false" ht="12.75" hidden="false" customHeight="false" outlineLevel="0" collapsed="false">
      <c r="A919" s="37"/>
      <c r="E919" s="83"/>
      <c r="J919" s="84"/>
      <c r="N919" s="84"/>
      <c r="R919" s="84"/>
      <c r="V919" s="84"/>
      <c r="Z919" s="84"/>
      <c r="AD919" s="84"/>
      <c r="AH919" s="84"/>
      <c r="AL919" s="84"/>
      <c r="AP919" s="84"/>
      <c r="AT919" s="84"/>
      <c r="AX919" s="84"/>
      <c r="BB919" s="85"/>
      <c r="BC919" s="84"/>
      <c r="BD919" s="84"/>
      <c r="BF919" s="84"/>
      <c r="BL919" s="84"/>
      <c r="BP919" s="86"/>
      <c r="BV919" s="84"/>
      <c r="CA919" s="84"/>
      <c r="CF919" s="84"/>
      <c r="CK919" s="84"/>
      <c r="CP919" s="84"/>
      <c r="CS919" s="86"/>
      <c r="CT919" s="84"/>
      <c r="CW919" s="86"/>
      <c r="CX919" s="84"/>
      <c r="DA919" s="86"/>
      <c r="DB919" s="84"/>
      <c r="DE919" s="86"/>
      <c r="DF919" s="84"/>
      <c r="DI919" s="86"/>
      <c r="DJ919" s="84"/>
      <c r="DM919" s="86"/>
      <c r="DN919" s="84"/>
      <c r="DQ919" s="86"/>
      <c r="DR919" s="85"/>
      <c r="DS919" s="85"/>
      <c r="DT919" s="84"/>
      <c r="DV919" s="84"/>
      <c r="DW919" s="157"/>
      <c r="EB919" s="84"/>
      <c r="EG919" s="84"/>
      <c r="EK919" s="84"/>
      <c r="EO919" s="84"/>
      <c r="ES919" s="84"/>
      <c r="EW919" s="84"/>
    </row>
    <row r="920" customFormat="false" ht="12.75" hidden="false" customHeight="false" outlineLevel="0" collapsed="false">
      <c r="A920" s="37"/>
      <c r="E920" s="83"/>
      <c r="J920" s="84"/>
      <c r="N920" s="84"/>
      <c r="R920" s="84"/>
      <c r="V920" s="84"/>
      <c r="Z920" s="84"/>
      <c r="AD920" s="84"/>
      <c r="AH920" s="84"/>
      <c r="AL920" s="84"/>
      <c r="AP920" s="84"/>
      <c r="AT920" s="84"/>
      <c r="AX920" s="84"/>
      <c r="BB920" s="85"/>
      <c r="BC920" s="84"/>
      <c r="BD920" s="84"/>
      <c r="BF920" s="84"/>
      <c r="BL920" s="84"/>
      <c r="BP920" s="86"/>
      <c r="BV920" s="84"/>
      <c r="CA920" s="84"/>
      <c r="CF920" s="84"/>
      <c r="CK920" s="84"/>
      <c r="CP920" s="84"/>
      <c r="CS920" s="86"/>
      <c r="CT920" s="84"/>
      <c r="CW920" s="86"/>
      <c r="CX920" s="84"/>
      <c r="DA920" s="86"/>
      <c r="DB920" s="84"/>
      <c r="DE920" s="86"/>
      <c r="DF920" s="84"/>
      <c r="DI920" s="86"/>
      <c r="DJ920" s="84"/>
      <c r="DM920" s="86"/>
      <c r="DN920" s="84"/>
      <c r="DQ920" s="86"/>
      <c r="DR920" s="85"/>
      <c r="DS920" s="85"/>
      <c r="DT920" s="84"/>
      <c r="DV920" s="84"/>
      <c r="DW920" s="157"/>
      <c r="EB920" s="84"/>
      <c r="EG920" s="84"/>
      <c r="EK920" s="84"/>
      <c r="EO920" s="84"/>
      <c r="ES920" s="84"/>
      <c r="EW920" s="84"/>
    </row>
    <row r="921" customFormat="false" ht="12.75" hidden="false" customHeight="false" outlineLevel="0" collapsed="false">
      <c r="A921" s="37"/>
      <c r="E921" s="83"/>
      <c r="J921" s="84"/>
      <c r="N921" s="84"/>
      <c r="R921" s="84"/>
      <c r="V921" s="84"/>
      <c r="Z921" s="84"/>
      <c r="AD921" s="84"/>
      <c r="AH921" s="84"/>
      <c r="AL921" s="84"/>
      <c r="AP921" s="84"/>
      <c r="AT921" s="84"/>
      <c r="AX921" s="84"/>
      <c r="BB921" s="85"/>
      <c r="BC921" s="84"/>
      <c r="BD921" s="84"/>
      <c r="BF921" s="84"/>
      <c r="BL921" s="84"/>
      <c r="BP921" s="86"/>
      <c r="BV921" s="84"/>
      <c r="CA921" s="84"/>
      <c r="CF921" s="84"/>
      <c r="CK921" s="84"/>
      <c r="CP921" s="84"/>
      <c r="CS921" s="86"/>
      <c r="CT921" s="84"/>
      <c r="CW921" s="86"/>
      <c r="CX921" s="84"/>
      <c r="DA921" s="86"/>
      <c r="DB921" s="84"/>
      <c r="DE921" s="86"/>
      <c r="DF921" s="84"/>
      <c r="DI921" s="86"/>
      <c r="DJ921" s="84"/>
      <c r="DM921" s="86"/>
      <c r="DN921" s="84"/>
      <c r="DQ921" s="86"/>
      <c r="DR921" s="85"/>
      <c r="DS921" s="85"/>
      <c r="DT921" s="84"/>
      <c r="DV921" s="84"/>
      <c r="DW921" s="157"/>
      <c r="EB921" s="84"/>
      <c r="EG921" s="84"/>
      <c r="EK921" s="84"/>
      <c r="EO921" s="84"/>
      <c r="ES921" s="84"/>
      <c r="EW921" s="84"/>
    </row>
    <row r="922" customFormat="false" ht="12.75" hidden="false" customHeight="false" outlineLevel="0" collapsed="false">
      <c r="A922" s="37"/>
      <c r="E922" s="83"/>
      <c r="J922" s="84"/>
      <c r="N922" s="84"/>
      <c r="R922" s="84"/>
      <c r="V922" s="84"/>
      <c r="Z922" s="84"/>
      <c r="AD922" s="84"/>
      <c r="AH922" s="84"/>
      <c r="AL922" s="84"/>
      <c r="AP922" s="84"/>
      <c r="AT922" s="84"/>
      <c r="AX922" s="84"/>
      <c r="BB922" s="85"/>
      <c r="BC922" s="84"/>
      <c r="BD922" s="84"/>
      <c r="BF922" s="84"/>
      <c r="BL922" s="84"/>
      <c r="BP922" s="86"/>
      <c r="BV922" s="84"/>
      <c r="CA922" s="84"/>
      <c r="CF922" s="84"/>
      <c r="CK922" s="84"/>
      <c r="CP922" s="84"/>
      <c r="CS922" s="86"/>
      <c r="CT922" s="84"/>
      <c r="CW922" s="86"/>
      <c r="CX922" s="84"/>
      <c r="DA922" s="86"/>
      <c r="DB922" s="84"/>
      <c r="DE922" s="86"/>
      <c r="DF922" s="84"/>
      <c r="DI922" s="86"/>
      <c r="DJ922" s="84"/>
      <c r="DM922" s="86"/>
      <c r="DN922" s="84"/>
      <c r="DQ922" s="86"/>
      <c r="DR922" s="85"/>
      <c r="DS922" s="85"/>
      <c r="DT922" s="84"/>
      <c r="DV922" s="84"/>
      <c r="DW922" s="157"/>
      <c r="EB922" s="84"/>
      <c r="EG922" s="84"/>
      <c r="EK922" s="84"/>
      <c r="EO922" s="84"/>
      <c r="ES922" s="84"/>
      <c r="EW922" s="84"/>
    </row>
    <row r="923" customFormat="false" ht="12.75" hidden="false" customHeight="false" outlineLevel="0" collapsed="false">
      <c r="A923" s="37"/>
      <c r="E923" s="83"/>
      <c r="J923" s="84"/>
      <c r="N923" s="84"/>
      <c r="R923" s="84"/>
      <c r="V923" s="84"/>
      <c r="Z923" s="84"/>
      <c r="AD923" s="84"/>
      <c r="AH923" s="84"/>
      <c r="AL923" s="84"/>
      <c r="AP923" s="84"/>
      <c r="AT923" s="84"/>
      <c r="AX923" s="84"/>
      <c r="BB923" s="85"/>
      <c r="BC923" s="84"/>
      <c r="BD923" s="84"/>
      <c r="BF923" s="84"/>
      <c r="BL923" s="84"/>
      <c r="BP923" s="86"/>
      <c r="BV923" s="84"/>
      <c r="CA923" s="84"/>
      <c r="CF923" s="84"/>
      <c r="CK923" s="84"/>
      <c r="CP923" s="84"/>
      <c r="CS923" s="86"/>
      <c r="CT923" s="84"/>
      <c r="CW923" s="86"/>
      <c r="CX923" s="84"/>
      <c r="DA923" s="86"/>
      <c r="DB923" s="84"/>
      <c r="DE923" s="86"/>
      <c r="DF923" s="84"/>
      <c r="DI923" s="86"/>
      <c r="DJ923" s="84"/>
      <c r="DM923" s="86"/>
      <c r="DN923" s="84"/>
      <c r="DQ923" s="86"/>
      <c r="DR923" s="85"/>
      <c r="DS923" s="85"/>
      <c r="DT923" s="84"/>
      <c r="DV923" s="84"/>
      <c r="DW923" s="157"/>
      <c r="EB923" s="84"/>
      <c r="EG923" s="84"/>
      <c r="EK923" s="84"/>
      <c r="EO923" s="84"/>
      <c r="ES923" s="84"/>
      <c r="EW923" s="84"/>
    </row>
    <row r="924" customFormat="false" ht="12.75" hidden="false" customHeight="false" outlineLevel="0" collapsed="false">
      <c r="A924" s="37"/>
      <c r="E924" s="83"/>
      <c r="J924" s="84"/>
      <c r="N924" s="84"/>
      <c r="R924" s="84"/>
      <c r="V924" s="84"/>
      <c r="Z924" s="84"/>
      <c r="AD924" s="84"/>
      <c r="AH924" s="84"/>
      <c r="AL924" s="84"/>
      <c r="AP924" s="84"/>
      <c r="AT924" s="84"/>
      <c r="AX924" s="84"/>
      <c r="BB924" s="85"/>
      <c r="BC924" s="84"/>
      <c r="BD924" s="84"/>
      <c r="BF924" s="84"/>
      <c r="BL924" s="84"/>
      <c r="BP924" s="86"/>
      <c r="BV924" s="84"/>
      <c r="CA924" s="84"/>
      <c r="CF924" s="84"/>
      <c r="CK924" s="84"/>
      <c r="CP924" s="84"/>
      <c r="CS924" s="86"/>
      <c r="CT924" s="84"/>
      <c r="CW924" s="86"/>
      <c r="CX924" s="84"/>
      <c r="DA924" s="86"/>
      <c r="DB924" s="84"/>
      <c r="DE924" s="86"/>
      <c r="DF924" s="84"/>
      <c r="DI924" s="86"/>
      <c r="DJ924" s="84"/>
      <c r="DM924" s="86"/>
      <c r="DN924" s="84"/>
      <c r="DQ924" s="86"/>
      <c r="DR924" s="85"/>
      <c r="DS924" s="85"/>
      <c r="DT924" s="84"/>
      <c r="DV924" s="84"/>
      <c r="DW924" s="157"/>
      <c r="EB924" s="84"/>
      <c r="EG924" s="84"/>
      <c r="EK924" s="84"/>
      <c r="EO924" s="84"/>
      <c r="ES924" s="84"/>
      <c r="EW924" s="84"/>
    </row>
    <row r="925" customFormat="false" ht="12.75" hidden="false" customHeight="false" outlineLevel="0" collapsed="false">
      <c r="A925" s="37"/>
      <c r="E925" s="83"/>
      <c r="J925" s="84"/>
      <c r="N925" s="84"/>
      <c r="R925" s="84"/>
      <c r="V925" s="84"/>
      <c r="Z925" s="84"/>
      <c r="AD925" s="84"/>
      <c r="AH925" s="84"/>
      <c r="AL925" s="84"/>
      <c r="AP925" s="84"/>
      <c r="AT925" s="84"/>
      <c r="AX925" s="84"/>
      <c r="BB925" s="85"/>
      <c r="BC925" s="84"/>
      <c r="BD925" s="84"/>
      <c r="BF925" s="84"/>
      <c r="BL925" s="84"/>
      <c r="BP925" s="86"/>
      <c r="BV925" s="84"/>
      <c r="CA925" s="84"/>
      <c r="CF925" s="84"/>
      <c r="CK925" s="84"/>
      <c r="CP925" s="84"/>
      <c r="CS925" s="86"/>
      <c r="CT925" s="84"/>
      <c r="CW925" s="86"/>
      <c r="CX925" s="84"/>
      <c r="DA925" s="86"/>
      <c r="DB925" s="84"/>
      <c r="DE925" s="86"/>
      <c r="DF925" s="84"/>
      <c r="DI925" s="86"/>
      <c r="DJ925" s="84"/>
      <c r="DM925" s="86"/>
      <c r="DN925" s="84"/>
      <c r="DQ925" s="86"/>
      <c r="DR925" s="85"/>
      <c r="DS925" s="85"/>
      <c r="DT925" s="84"/>
      <c r="DV925" s="84"/>
      <c r="DW925" s="157"/>
      <c r="EB925" s="84"/>
      <c r="EG925" s="84"/>
      <c r="EK925" s="84"/>
      <c r="EO925" s="84"/>
      <c r="ES925" s="84"/>
      <c r="EW925" s="84"/>
    </row>
    <row r="926" customFormat="false" ht="12.75" hidden="false" customHeight="false" outlineLevel="0" collapsed="false">
      <c r="A926" s="37"/>
      <c r="E926" s="83"/>
      <c r="J926" s="84"/>
      <c r="N926" s="84"/>
      <c r="R926" s="84"/>
      <c r="V926" s="84"/>
      <c r="Z926" s="84"/>
      <c r="AD926" s="84"/>
      <c r="AH926" s="84"/>
      <c r="AL926" s="84"/>
      <c r="AP926" s="84"/>
      <c r="AT926" s="84"/>
      <c r="AX926" s="84"/>
      <c r="BB926" s="85"/>
      <c r="BC926" s="84"/>
      <c r="BD926" s="84"/>
      <c r="BF926" s="84"/>
      <c r="BL926" s="84"/>
      <c r="BP926" s="86"/>
      <c r="BV926" s="84"/>
      <c r="CA926" s="84"/>
      <c r="CF926" s="84"/>
      <c r="CK926" s="84"/>
      <c r="CP926" s="84"/>
      <c r="CS926" s="86"/>
      <c r="CT926" s="84"/>
      <c r="CW926" s="86"/>
      <c r="CX926" s="84"/>
      <c r="DA926" s="86"/>
      <c r="DB926" s="84"/>
      <c r="DE926" s="86"/>
      <c r="DF926" s="84"/>
      <c r="DI926" s="86"/>
      <c r="DJ926" s="84"/>
      <c r="DM926" s="86"/>
      <c r="DN926" s="84"/>
      <c r="DQ926" s="86"/>
      <c r="DR926" s="85"/>
      <c r="DS926" s="85"/>
      <c r="DT926" s="84"/>
      <c r="DV926" s="84"/>
      <c r="DW926" s="157"/>
      <c r="EB926" s="84"/>
      <c r="EG926" s="84"/>
      <c r="EK926" s="84"/>
      <c r="EO926" s="84"/>
      <c r="ES926" s="84"/>
      <c r="EW926" s="84"/>
    </row>
    <row r="927" customFormat="false" ht="12.75" hidden="false" customHeight="false" outlineLevel="0" collapsed="false">
      <c r="A927" s="37"/>
      <c r="E927" s="83"/>
      <c r="J927" s="84"/>
      <c r="N927" s="84"/>
      <c r="R927" s="84"/>
      <c r="V927" s="84"/>
      <c r="Z927" s="84"/>
      <c r="AD927" s="84"/>
      <c r="AH927" s="84"/>
      <c r="AL927" s="84"/>
      <c r="AP927" s="84"/>
      <c r="AT927" s="84"/>
      <c r="AX927" s="84"/>
      <c r="BB927" s="85"/>
      <c r="BC927" s="84"/>
      <c r="BD927" s="84"/>
      <c r="BF927" s="84"/>
      <c r="BL927" s="84"/>
      <c r="BP927" s="86"/>
      <c r="BV927" s="84"/>
      <c r="CA927" s="84"/>
      <c r="CF927" s="84"/>
      <c r="CK927" s="84"/>
      <c r="CP927" s="84"/>
      <c r="CS927" s="86"/>
      <c r="CT927" s="84"/>
      <c r="CW927" s="86"/>
      <c r="CX927" s="84"/>
      <c r="DA927" s="86"/>
      <c r="DB927" s="84"/>
      <c r="DE927" s="86"/>
      <c r="DF927" s="84"/>
      <c r="DI927" s="86"/>
      <c r="DJ927" s="84"/>
      <c r="DM927" s="86"/>
      <c r="DN927" s="84"/>
      <c r="DQ927" s="86"/>
      <c r="DR927" s="85"/>
      <c r="DS927" s="85"/>
      <c r="DT927" s="84"/>
      <c r="DV927" s="84"/>
      <c r="DW927" s="157"/>
      <c r="EB927" s="84"/>
      <c r="EG927" s="84"/>
      <c r="EK927" s="84"/>
      <c r="EO927" s="84"/>
      <c r="ES927" s="84"/>
      <c r="EW927" s="84"/>
    </row>
    <row r="928" customFormat="false" ht="12.75" hidden="false" customHeight="false" outlineLevel="0" collapsed="false">
      <c r="A928" s="37"/>
      <c r="E928" s="83"/>
      <c r="J928" s="84"/>
      <c r="N928" s="84"/>
      <c r="R928" s="84"/>
      <c r="V928" s="84"/>
      <c r="Z928" s="84"/>
      <c r="AD928" s="84"/>
      <c r="AH928" s="84"/>
      <c r="AL928" s="84"/>
      <c r="AP928" s="84"/>
      <c r="AT928" s="84"/>
      <c r="AX928" s="84"/>
      <c r="BB928" s="85"/>
      <c r="BC928" s="84"/>
      <c r="BD928" s="84"/>
      <c r="BF928" s="84"/>
      <c r="BL928" s="84"/>
      <c r="BP928" s="86"/>
      <c r="BV928" s="84"/>
      <c r="CA928" s="84"/>
      <c r="CF928" s="84"/>
      <c r="CK928" s="84"/>
      <c r="CP928" s="84"/>
      <c r="CS928" s="86"/>
      <c r="CT928" s="84"/>
      <c r="CW928" s="86"/>
      <c r="CX928" s="84"/>
      <c r="DA928" s="86"/>
      <c r="DB928" s="84"/>
      <c r="DE928" s="86"/>
      <c r="DF928" s="84"/>
      <c r="DI928" s="86"/>
      <c r="DJ928" s="84"/>
      <c r="DM928" s="86"/>
      <c r="DN928" s="84"/>
      <c r="DQ928" s="86"/>
      <c r="DR928" s="85"/>
      <c r="DS928" s="85"/>
      <c r="DT928" s="84"/>
      <c r="DV928" s="84"/>
      <c r="DW928" s="157"/>
      <c r="EB928" s="84"/>
      <c r="EG928" s="84"/>
      <c r="EK928" s="84"/>
      <c r="EO928" s="84"/>
      <c r="ES928" s="84"/>
      <c r="EW928" s="84"/>
    </row>
    <row r="929" customFormat="false" ht="12.75" hidden="false" customHeight="false" outlineLevel="0" collapsed="false">
      <c r="A929" s="37"/>
      <c r="E929" s="83"/>
      <c r="J929" s="84"/>
      <c r="N929" s="84"/>
      <c r="R929" s="84"/>
      <c r="V929" s="84"/>
      <c r="Z929" s="84"/>
      <c r="AD929" s="84"/>
      <c r="AH929" s="84"/>
      <c r="AL929" s="84"/>
      <c r="AP929" s="84"/>
      <c r="AT929" s="84"/>
      <c r="AX929" s="84"/>
      <c r="BB929" s="85"/>
      <c r="BC929" s="84"/>
      <c r="BD929" s="84"/>
      <c r="BF929" s="84"/>
      <c r="BL929" s="84"/>
      <c r="BP929" s="86"/>
      <c r="BV929" s="84"/>
      <c r="CA929" s="84"/>
      <c r="CF929" s="84"/>
      <c r="CK929" s="84"/>
      <c r="CP929" s="84"/>
      <c r="CS929" s="86"/>
      <c r="CT929" s="84"/>
      <c r="CW929" s="86"/>
      <c r="CX929" s="84"/>
      <c r="DA929" s="86"/>
      <c r="DB929" s="84"/>
      <c r="DE929" s="86"/>
      <c r="DF929" s="84"/>
      <c r="DI929" s="86"/>
      <c r="DJ929" s="84"/>
      <c r="DM929" s="86"/>
      <c r="DN929" s="84"/>
      <c r="DQ929" s="86"/>
      <c r="DR929" s="85"/>
      <c r="DS929" s="85"/>
      <c r="DT929" s="84"/>
      <c r="DV929" s="84"/>
      <c r="DW929" s="157"/>
      <c r="EB929" s="84"/>
      <c r="EG929" s="84"/>
      <c r="EK929" s="84"/>
      <c r="EO929" s="84"/>
      <c r="ES929" s="84"/>
      <c r="EW929" s="84"/>
    </row>
    <row r="930" customFormat="false" ht="12.75" hidden="false" customHeight="false" outlineLevel="0" collapsed="false">
      <c r="A930" s="37"/>
      <c r="E930" s="83"/>
      <c r="J930" s="84"/>
      <c r="N930" s="84"/>
      <c r="R930" s="84"/>
      <c r="V930" s="84"/>
      <c r="Z930" s="84"/>
      <c r="AD930" s="84"/>
      <c r="AH930" s="84"/>
      <c r="AL930" s="84"/>
      <c r="AP930" s="84"/>
      <c r="AT930" s="84"/>
      <c r="AX930" s="84"/>
      <c r="BB930" s="85"/>
      <c r="BC930" s="84"/>
      <c r="BD930" s="84"/>
      <c r="BF930" s="84"/>
      <c r="BL930" s="84"/>
      <c r="BP930" s="86"/>
      <c r="BV930" s="84"/>
      <c r="CA930" s="84"/>
      <c r="CF930" s="84"/>
      <c r="CK930" s="84"/>
      <c r="CP930" s="84"/>
      <c r="CS930" s="86"/>
      <c r="CT930" s="84"/>
      <c r="CW930" s="86"/>
      <c r="CX930" s="84"/>
      <c r="DA930" s="86"/>
      <c r="DB930" s="84"/>
      <c r="DE930" s="86"/>
      <c r="DF930" s="84"/>
      <c r="DI930" s="86"/>
      <c r="DJ930" s="84"/>
      <c r="DM930" s="86"/>
      <c r="DN930" s="84"/>
      <c r="DQ930" s="86"/>
      <c r="DR930" s="85"/>
      <c r="DS930" s="85"/>
      <c r="DT930" s="84"/>
      <c r="DV930" s="84"/>
      <c r="DW930" s="157"/>
      <c r="EB930" s="84"/>
      <c r="EG930" s="84"/>
      <c r="EK930" s="84"/>
      <c r="EO930" s="84"/>
      <c r="ES930" s="84"/>
      <c r="EW930" s="84"/>
    </row>
    <row r="931" customFormat="false" ht="12.75" hidden="false" customHeight="false" outlineLevel="0" collapsed="false">
      <c r="A931" s="37"/>
      <c r="E931" s="83"/>
      <c r="J931" s="84"/>
      <c r="N931" s="84"/>
      <c r="R931" s="84"/>
      <c r="V931" s="84"/>
      <c r="Z931" s="84"/>
      <c r="AD931" s="84"/>
      <c r="AH931" s="84"/>
      <c r="AL931" s="84"/>
      <c r="AP931" s="84"/>
      <c r="AT931" s="84"/>
      <c r="AX931" s="84"/>
      <c r="BB931" s="85"/>
      <c r="BC931" s="84"/>
      <c r="BD931" s="84"/>
      <c r="BF931" s="84"/>
      <c r="BL931" s="84"/>
      <c r="BP931" s="86"/>
      <c r="BV931" s="84"/>
      <c r="CA931" s="84"/>
      <c r="CF931" s="84"/>
      <c r="CK931" s="84"/>
      <c r="CP931" s="84"/>
      <c r="CS931" s="86"/>
      <c r="CT931" s="84"/>
      <c r="CW931" s="86"/>
      <c r="CX931" s="84"/>
      <c r="DA931" s="86"/>
      <c r="DB931" s="84"/>
      <c r="DE931" s="86"/>
      <c r="DF931" s="84"/>
      <c r="DI931" s="86"/>
      <c r="DJ931" s="84"/>
      <c r="DM931" s="86"/>
      <c r="DN931" s="84"/>
      <c r="DQ931" s="86"/>
      <c r="DR931" s="85"/>
      <c r="DS931" s="85"/>
      <c r="DT931" s="84"/>
      <c r="DV931" s="84"/>
      <c r="DW931" s="157"/>
      <c r="EB931" s="84"/>
      <c r="EG931" s="84"/>
      <c r="EK931" s="84"/>
      <c r="EO931" s="84"/>
      <c r="ES931" s="84"/>
      <c r="EW931" s="84"/>
    </row>
    <row r="932" customFormat="false" ht="12.75" hidden="false" customHeight="false" outlineLevel="0" collapsed="false">
      <c r="A932" s="37"/>
      <c r="E932" s="83"/>
      <c r="J932" s="84"/>
      <c r="N932" s="84"/>
      <c r="R932" s="84"/>
      <c r="V932" s="84"/>
      <c r="Z932" s="84"/>
      <c r="AD932" s="84"/>
      <c r="AH932" s="84"/>
      <c r="AL932" s="84"/>
      <c r="AP932" s="84"/>
      <c r="AT932" s="84"/>
      <c r="AX932" s="84"/>
      <c r="BB932" s="85"/>
      <c r="BC932" s="84"/>
      <c r="BD932" s="84"/>
      <c r="BF932" s="84"/>
      <c r="BL932" s="84"/>
      <c r="BP932" s="86"/>
      <c r="BV932" s="84"/>
      <c r="CA932" s="84"/>
      <c r="CF932" s="84"/>
      <c r="CK932" s="84"/>
      <c r="CP932" s="84"/>
      <c r="CS932" s="86"/>
      <c r="CT932" s="84"/>
      <c r="CW932" s="86"/>
      <c r="CX932" s="84"/>
      <c r="DA932" s="86"/>
      <c r="DB932" s="84"/>
      <c r="DE932" s="86"/>
      <c r="DF932" s="84"/>
      <c r="DI932" s="86"/>
      <c r="DJ932" s="84"/>
      <c r="DM932" s="86"/>
      <c r="DN932" s="84"/>
      <c r="DQ932" s="86"/>
      <c r="DR932" s="85"/>
      <c r="DS932" s="85"/>
      <c r="DT932" s="84"/>
      <c r="DV932" s="84"/>
      <c r="DW932" s="157"/>
      <c r="EB932" s="84"/>
      <c r="EG932" s="84"/>
      <c r="EK932" s="84"/>
      <c r="EO932" s="84"/>
      <c r="ES932" s="84"/>
      <c r="EW932" s="84"/>
    </row>
    <row r="933" customFormat="false" ht="12.75" hidden="false" customHeight="false" outlineLevel="0" collapsed="false">
      <c r="A933" s="37"/>
      <c r="E933" s="83"/>
      <c r="J933" s="84"/>
      <c r="N933" s="84"/>
      <c r="R933" s="84"/>
      <c r="V933" s="84"/>
      <c r="Z933" s="84"/>
      <c r="AD933" s="84"/>
      <c r="AH933" s="84"/>
      <c r="AL933" s="84"/>
      <c r="AP933" s="84"/>
      <c r="AT933" s="84"/>
      <c r="AX933" s="84"/>
      <c r="BB933" s="85"/>
      <c r="BC933" s="84"/>
      <c r="BD933" s="84"/>
      <c r="BF933" s="84"/>
      <c r="BL933" s="84"/>
      <c r="BP933" s="86"/>
      <c r="BV933" s="84"/>
      <c r="CA933" s="84"/>
      <c r="CF933" s="84"/>
      <c r="CK933" s="84"/>
      <c r="CP933" s="84"/>
      <c r="CS933" s="86"/>
      <c r="CT933" s="84"/>
      <c r="CW933" s="86"/>
      <c r="CX933" s="84"/>
      <c r="DA933" s="86"/>
      <c r="DB933" s="84"/>
      <c r="DE933" s="86"/>
      <c r="DF933" s="84"/>
      <c r="DI933" s="86"/>
      <c r="DJ933" s="84"/>
      <c r="DM933" s="86"/>
      <c r="DN933" s="84"/>
      <c r="DQ933" s="86"/>
      <c r="DR933" s="85"/>
      <c r="DS933" s="85"/>
      <c r="DT933" s="84"/>
      <c r="DV933" s="84"/>
      <c r="DW933" s="157"/>
      <c r="EB933" s="84"/>
      <c r="EG933" s="84"/>
      <c r="EK933" s="84"/>
      <c r="EO933" s="84"/>
      <c r="ES933" s="84"/>
      <c r="EW933" s="84"/>
    </row>
    <row r="934" customFormat="false" ht="12.75" hidden="false" customHeight="false" outlineLevel="0" collapsed="false">
      <c r="A934" s="37"/>
      <c r="E934" s="83"/>
      <c r="J934" s="84"/>
      <c r="N934" s="84"/>
      <c r="R934" s="84"/>
      <c r="V934" s="84"/>
      <c r="Z934" s="84"/>
      <c r="AD934" s="84"/>
      <c r="AH934" s="84"/>
      <c r="AL934" s="84"/>
      <c r="AP934" s="84"/>
      <c r="AT934" s="84"/>
      <c r="AX934" s="84"/>
      <c r="BB934" s="85"/>
      <c r="BC934" s="84"/>
      <c r="BD934" s="84"/>
      <c r="BF934" s="84"/>
      <c r="BL934" s="84"/>
      <c r="BP934" s="86"/>
      <c r="BV934" s="84"/>
      <c r="CA934" s="84"/>
      <c r="CF934" s="84"/>
      <c r="CK934" s="84"/>
      <c r="CP934" s="84"/>
      <c r="CS934" s="86"/>
      <c r="CT934" s="84"/>
      <c r="CW934" s="86"/>
      <c r="CX934" s="84"/>
      <c r="DA934" s="86"/>
      <c r="DB934" s="84"/>
      <c r="DE934" s="86"/>
      <c r="DF934" s="84"/>
      <c r="DI934" s="86"/>
      <c r="DJ934" s="84"/>
      <c r="DM934" s="86"/>
      <c r="DN934" s="84"/>
      <c r="DQ934" s="86"/>
      <c r="DR934" s="85"/>
      <c r="DS934" s="85"/>
      <c r="DT934" s="84"/>
      <c r="DV934" s="84"/>
      <c r="DW934" s="157"/>
      <c r="EB934" s="84"/>
      <c r="EG934" s="84"/>
      <c r="EK934" s="84"/>
      <c r="EO934" s="84"/>
      <c r="ES934" s="84"/>
      <c r="EW934" s="84"/>
    </row>
    <row r="935" customFormat="false" ht="12.75" hidden="false" customHeight="false" outlineLevel="0" collapsed="false">
      <c r="A935" s="37"/>
      <c r="E935" s="83"/>
      <c r="J935" s="84"/>
      <c r="N935" s="84"/>
      <c r="R935" s="84"/>
      <c r="V935" s="84"/>
      <c r="Z935" s="84"/>
      <c r="AD935" s="84"/>
      <c r="AH935" s="84"/>
      <c r="AL935" s="84"/>
      <c r="AP935" s="84"/>
      <c r="AT935" s="84"/>
      <c r="AX935" s="84"/>
      <c r="BB935" s="85"/>
      <c r="BC935" s="84"/>
      <c r="BD935" s="84"/>
      <c r="BF935" s="84"/>
      <c r="BL935" s="84"/>
      <c r="BP935" s="86"/>
      <c r="BV935" s="84"/>
      <c r="CA935" s="84"/>
      <c r="CF935" s="84"/>
      <c r="CK935" s="84"/>
      <c r="CP935" s="84"/>
      <c r="CS935" s="86"/>
      <c r="CT935" s="84"/>
      <c r="CW935" s="86"/>
      <c r="CX935" s="84"/>
      <c r="DA935" s="86"/>
      <c r="DB935" s="84"/>
      <c r="DE935" s="86"/>
      <c r="DF935" s="84"/>
      <c r="DI935" s="86"/>
      <c r="DJ935" s="84"/>
      <c r="DM935" s="86"/>
      <c r="DN935" s="84"/>
      <c r="DQ935" s="86"/>
      <c r="DR935" s="85"/>
      <c r="DS935" s="85"/>
      <c r="DT935" s="84"/>
      <c r="DV935" s="84"/>
      <c r="DW935" s="157"/>
      <c r="EB935" s="84"/>
      <c r="EG935" s="84"/>
      <c r="EK935" s="84"/>
      <c r="EO935" s="84"/>
      <c r="ES935" s="84"/>
      <c r="EW935" s="84"/>
    </row>
    <row r="936" customFormat="false" ht="12.75" hidden="false" customHeight="false" outlineLevel="0" collapsed="false">
      <c r="A936" s="37"/>
      <c r="E936" s="83"/>
      <c r="J936" s="84"/>
      <c r="N936" s="84"/>
      <c r="R936" s="84"/>
      <c r="V936" s="84"/>
      <c r="Z936" s="84"/>
      <c r="AD936" s="84"/>
      <c r="AH936" s="84"/>
      <c r="AL936" s="84"/>
      <c r="AP936" s="84"/>
      <c r="AT936" s="84"/>
      <c r="AX936" s="84"/>
      <c r="BB936" s="85"/>
      <c r="BC936" s="84"/>
      <c r="BD936" s="84"/>
      <c r="BF936" s="84"/>
      <c r="BL936" s="84"/>
      <c r="BP936" s="86"/>
      <c r="BV936" s="84"/>
      <c r="CA936" s="84"/>
      <c r="CF936" s="84"/>
      <c r="CK936" s="84"/>
      <c r="CP936" s="84"/>
      <c r="CS936" s="86"/>
      <c r="CT936" s="84"/>
      <c r="CW936" s="86"/>
      <c r="CX936" s="84"/>
      <c r="DA936" s="86"/>
      <c r="DB936" s="84"/>
      <c r="DE936" s="86"/>
      <c r="DF936" s="84"/>
      <c r="DI936" s="86"/>
      <c r="DJ936" s="84"/>
      <c r="DM936" s="86"/>
      <c r="DN936" s="84"/>
      <c r="DQ936" s="86"/>
      <c r="DR936" s="85"/>
      <c r="DS936" s="85"/>
      <c r="DT936" s="84"/>
      <c r="DV936" s="84"/>
      <c r="DW936" s="157"/>
      <c r="EB936" s="84"/>
      <c r="EG936" s="84"/>
      <c r="EK936" s="84"/>
      <c r="EO936" s="84"/>
      <c r="ES936" s="84"/>
      <c r="EW936" s="84"/>
    </row>
    <row r="937" customFormat="false" ht="12.75" hidden="false" customHeight="false" outlineLevel="0" collapsed="false">
      <c r="A937" s="37"/>
      <c r="E937" s="83"/>
      <c r="J937" s="84"/>
      <c r="N937" s="84"/>
      <c r="R937" s="84"/>
      <c r="V937" s="84"/>
      <c r="Z937" s="84"/>
      <c r="AD937" s="84"/>
      <c r="AH937" s="84"/>
      <c r="AL937" s="84"/>
      <c r="AP937" s="84"/>
      <c r="AT937" s="84"/>
      <c r="AX937" s="84"/>
      <c r="BB937" s="85"/>
      <c r="BC937" s="84"/>
      <c r="BD937" s="84"/>
      <c r="BF937" s="84"/>
      <c r="BL937" s="84"/>
      <c r="BP937" s="86"/>
      <c r="BV937" s="84"/>
      <c r="CA937" s="84"/>
      <c r="CF937" s="84"/>
      <c r="CK937" s="84"/>
      <c r="CP937" s="84"/>
      <c r="CS937" s="86"/>
      <c r="CT937" s="84"/>
      <c r="CW937" s="86"/>
      <c r="CX937" s="84"/>
      <c r="DA937" s="86"/>
      <c r="DB937" s="84"/>
      <c r="DE937" s="86"/>
      <c r="DF937" s="84"/>
      <c r="DI937" s="86"/>
      <c r="DJ937" s="84"/>
      <c r="DM937" s="86"/>
      <c r="DN937" s="84"/>
      <c r="DQ937" s="86"/>
      <c r="DR937" s="85"/>
      <c r="DS937" s="85"/>
      <c r="DT937" s="84"/>
      <c r="DV937" s="84"/>
      <c r="DW937" s="157"/>
      <c r="EB937" s="84"/>
      <c r="EG937" s="84"/>
      <c r="EK937" s="84"/>
      <c r="EO937" s="84"/>
      <c r="ES937" s="84"/>
      <c r="EW937" s="84"/>
    </row>
    <row r="938" customFormat="false" ht="12.75" hidden="false" customHeight="false" outlineLevel="0" collapsed="false">
      <c r="A938" s="37"/>
      <c r="E938" s="83"/>
      <c r="J938" s="84"/>
      <c r="N938" s="84"/>
      <c r="R938" s="84"/>
      <c r="V938" s="84"/>
      <c r="Z938" s="84"/>
      <c r="AD938" s="84"/>
      <c r="AH938" s="84"/>
      <c r="AL938" s="84"/>
      <c r="AP938" s="84"/>
      <c r="AT938" s="84"/>
      <c r="AX938" s="84"/>
      <c r="BB938" s="85"/>
      <c r="BC938" s="84"/>
      <c r="BD938" s="84"/>
      <c r="BF938" s="84"/>
      <c r="BL938" s="84"/>
      <c r="BP938" s="86"/>
      <c r="BV938" s="84"/>
      <c r="CA938" s="84"/>
      <c r="CF938" s="84"/>
      <c r="CK938" s="84"/>
      <c r="CP938" s="84"/>
      <c r="CS938" s="86"/>
      <c r="CT938" s="84"/>
      <c r="CW938" s="86"/>
      <c r="CX938" s="84"/>
      <c r="DA938" s="86"/>
      <c r="DB938" s="84"/>
      <c r="DE938" s="86"/>
      <c r="DF938" s="84"/>
      <c r="DI938" s="86"/>
      <c r="DJ938" s="84"/>
      <c r="DM938" s="86"/>
      <c r="DN938" s="84"/>
      <c r="DQ938" s="86"/>
      <c r="DR938" s="85"/>
      <c r="DS938" s="85"/>
      <c r="DT938" s="84"/>
      <c r="DV938" s="84"/>
      <c r="DW938" s="157"/>
      <c r="EB938" s="84"/>
      <c r="EG938" s="84"/>
      <c r="EK938" s="84"/>
      <c r="EO938" s="84"/>
      <c r="ES938" s="84"/>
      <c r="EW938" s="84"/>
    </row>
    <row r="939" customFormat="false" ht="12.75" hidden="false" customHeight="false" outlineLevel="0" collapsed="false">
      <c r="A939" s="37"/>
      <c r="E939" s="83"/>
      <c r="J939" s="84"/>
      <c r="N939" s="84"/>
      <c r="R939" s="84"/>
      <c r="V939" s="84"/>
      <c r="Z939" s="84"/>
      <c r="AD939" s="84"/>
      <c r="AH939" s="84"/>
      <c r="AL939" s="84"/>
      <c r="AP939" s="84"/>
      <c r="AT939" s="84"/>
      <c r="AX939" s="84"/>
      <c r="BB939" s="85"/>
      <c r="BC939" s="84"/>
      <c r="BD939" s="84"/>
      <c r="BF939" s="84"/>
      <c r="BL939" s="84"/>
      <c r="BP939" s="86"/>
      <c r="BV939" s="84"/>
      <c r="CA939" s="84"/>
      <c r="CF939" s="84"/>
      <c r="CK939" s="84"/>
      <c r="CP939" s="84"/>
      <c r="CS939" s="86"/>
      <c r="CT939" s="84"/>
      <c r="CW939" s="86"/>
      <c r="CX939" s="84"/>
      <c r="DA939" s="86"/>
      <c r="DB939" s="84"/>
      <c r="DE939" s="86"/>
      <c r="DF939" s="84"/>
      <c r="DI939" s="86"/>
      <c r="DJ939" s="84"/>
      <c r="DM939" s="86"/>
      <c r="DN939" s="84"/>
      <c r="DQ939" s="86"/>
      <c r="DR939" s="85"/>
      <c r="DS939" s="85"/>
      <c r="DT939" s="84"/>
      <c r="DV939" s="84"/>
      <c r="DW939" s="157"/>
      <c r="EB939" s="84"/>
      <c r="EG939" s="84"/>
      <c r="EK939" s="84"/>
      <c r="EO939" s="84"/>
      <c r="ES939" s="84"/>
      <c r="EW939" s="84"/>
    </row>
    <row r="940" customFormat="false" ht="12.75" hidden="false" customHeight="false" outlineLevel="0" collapsed="false">
      <c r="A940" s="37"/>
      <c r="E940" s="83"/>
      <c r="J940" s="84"/>
      <c r="N940" s="84"/>
      <c r="R940" s="84"/>
      <c r="V940" s="84"/>
      <c r="Z940" s="84"/>
      <c r="AD940" s="84"/>
      <c r="AH940" s="84"/>
      <c r="AL940" s="84"/>
      <c r="AP940" s="84"/>
      <c r="AT940" s="84"/>
      <c r="AX940" s="84"/>
      <c r="BB940" s="85"/>
      <c r="BC940" s="84"/>
      <c r="BD940" s="84"/>
      <c r="BF940" s="84"/>
      <c r="BL940" s="84"/>
      <c r="BP940" s="86"/>
      <c r="BV940" s="84"/>
      <c r="CA940" s="84"/>
      <c r="CF940" s="84"/>
      <c r="CK940" s="84"/>
      <c r="CP940" s="84"/>
      <c r="CS940" s="86"/>
      <c r="CT940" s="84"/>
      <c r="CW940" s="86"/>
      <c r="CX940" s="84"/>
      <c r="DA940" s="86"/>
      <c r="DB940" s="84"/>
      <c r="DE940" s="86"/>
      <c r="DF940" s="84"/>
      <c r="DI940" s="86"/>
      <c r="DJ940" s="84"/>
      <c r="DM940" s="86"/>
      <c r="DN940" s="84"/>
      <c r="DQ940" s="86"/>
      <c r="DR940" s="85"/>
      <c r="DS940" s="85"/>
      <c r="DT940" s="84"/>
      <c r="DV940" s="84"/>
      <c r="DW940" s="157"/>
      <c r="EB940" s="84"/>
      <c r="EG940" s="84"/>
      <c r="EK940" s="84"/>
      <c r="EO940" s="84"/>
      <c r="ES940" s="84"/>
      <c r="EW940" s="84"/>
    </row>
    <row r="941" customFormat="false" ht="12.75" hidden="false" customHeight="false" outlineLevel="0" collapsed="false">
      <c r="A941" s="37"/>
      <c r="E941" s="83"/>
      <c r="J941" s="84"/>
      <c r="N941" s="84"/>
      <c r="R941" s="84"/>
      <c r="V941" s="84"/>
      <c r="Z941" s="84"/>
      <c r="AD941" s="84"/>
      <c r="AH941" s="84"/>
      <c r="AL941" s="84"/>
      <c r="AP941" s="84"/>
      <c r="AT941" s="84"/>
      <c r="AX941" s="84"/>
      <c r="BB941" s="85"/>
      <c r="BC941" s="84"/>
      <c r="BD941" s="84"/>
      <c r="BF941" s="84"/>
      <c r="BL941" s="84"/>
      <c r="BP941" s="86"/>
      <c r="BV941" s="84"/>
      <c r="CA941" s="84"/>
      <c r="CF941" s="84"/>
      <c r="CK941" s="84"/>
      <c r="CP941" s="84"/>
      <c r="CS941" s="86"/>
      <c r="CT941" s="84"/>
      <c r="CW941" s="86"/>
      <c r="CX941" s="84"/>
      <c r="DA941" s="86"/>
      <c r="DB941" s="84"/>
      <c r="DE941" s="86"/>
      <c r="DF941" s="84"/>
      <c r="DI941" s="86"/>
      <c r="DJ941" s="84"/>
      <c r="DM941" s="86"/>
      <c r="DN941" s="84"/>
      <c r="DQ941" s="86"/>
      <c r="DR941" s="85"/>
      <c r="DS941" s="85"/>
      <c r="DT941" s="84"/>
      <c r="DV941" s="84"/>
      <c r="DW941" s="157"/>
      <c r="EB941" s="84"/>
      <c r="EG941" s="84"/>
      <c r="EK941" s="84"/>
      <c r="EO941" s="84"/>
      <c r="ES941" s="84"/>
      <c r="EW941" s="84"/>
    </row>
    <row r="942" customFormat="false" ht="12.75" hidden="false" customHeight="false" outlineLevel="0" collapsed="false">
      <c r="A942" s="37"/>
      <c r="E942" s="83"/>
      <c r="J942" s="84"/>
      <c r="N942" s="84"/>
      <c r="R942" s="84"/>
      <c r="V942" s="84"/>
      <c r="Z942" s="84"/>
      <c r="AD942" s="84"/>
      <c r="AH942" s="84"/>
      <c r="AL942" s="84"/>
      <c r="AP942" s="84"/>
      <c r="AT942" s="84"/>
      <c r="AX942" s="84"/>
      <c r="BB942" s="85"/>
      <c r="BC942" s="84"/>
      <c r="BD942" s="84"/>
      <c r="BF942" s="84"/>
      <c r="BL942" s="84"/>
      <c r="BP942" s="86"/>
      <c r="BV942" s="84"/>
      <c r="CA942" s="84"/>
      <c r="CF942" s="84"/>
      <c r="CK942" s="84"/>
      <c r="CP942" s="84"/>
      <c r="CS942" s="86"/>
      <c r="CT942" s="84"/>
      <c r="CW942" s="86"/>
      <c r="CX942" s="84"/>
      <c r="DA942" s="86"/>
      <c r="DB942" s="84"/>
      <c r="DE942" s="86"/>
      <c r="DF942" s="84"/>
      <c r="DI942" s="86"/>
      <c r="DJ942" s="84"/>
      <c r="DM942" s="86"/>
      <c r="DN942" s="84"/>
      <c r="DQ942" s="86"/>
      <c r="DR942" s="85"/>
      <c r="DS942" s="85"/>
      <c r="DT942" s="84"/>
      <c r="DV942" s="84"/>
      <c r="DW942" s="157"/>
      <c r="EB942" s="84"/>
      <c r="EG942" s="84"/>
      <c r="EK942" s="84"/>
      <c r="EO942" s="84"/>
      <c r="ES942" s="84"/>
      <c r="EW942" s="84"/>
    </row>
    <row r="943" customFormat="false" ht="12.75" hidden="false" customHeight="false" outlineLevel="0" collapsed="false">
      <c r="A943" s="37"/>
      <c r="E943" s="83"/>
      <c r="J943" s="84"/>
      <c r="N943" s="84"/>
      <c r="R943" s="84"/>
      <c r="V943" s="84"/>
      <c r="Z943" s="84"/>
      <c r="AD943" s="84"/>
      <c r="AH943" s="84"/>
      <c r="AL943" s="84"/>
      <c r="AP943" s="84"/>
      <c r="AT943" s="84"/>
      <c r="AX943" s="84"/>
      <c r="BB943" s="85"/>
      <c r="BC943" s="84"/>
      <c r="BD943" s="84"/>
      <c r="BF943" s="84"/>
      <c r="BL943" s="84"/>
      <c r="BP943" s="86"/>
      <c r="BV943" s="84"/>
      <c r="CA943" s="84"/>
      <c r="CF943" s="84"/>
      <c r="CK943" s="84"/>
      <c r="CP943" s="84"/>
      <c r="CS943" s="86"/>
      <c r="CT943" s="84"/>
      <c r="CW943" s="86"/>
      <c r="CX943" s="84"/>
      <c r="DA943" s="86"/>
      <c r="DB943" s="84"/>
      <c r="DE943" s="86"/>
      <c r="DF943" s="84"/>
      <c r="DI943" s="86"/>
      <c r="DJ943" s="84"/>
      <c r="DM943" s="86"/>
      <c r="DN943" s="84"/>
      <c r="DQ943" s="86"/>
      <c r="DR943" s="85"/>
      <c r="DS943" s="85"/>
      <c r="DT943" s="84"/>
      <c r="DV943" s="84"/>
      <c r="DW943" s="157"/>
      <c r="EB943" s="84"/>
      <c r="EG943" s="84"/>
      <c r="EK943" s="84"/>
      <c r="EO943" s="84"/>
      <c r="ES943" s="84"/>
      <c r="EW943" s="84"/>
    </row>
    <row r="944" customFormat="false" ht="12.75" hidden="false" customHeight="false" outlineLevel="0" collapsed="false">
      <c r="A944" s="37"/>
      <c r="E944" s="83"/>
      <c r="J944" s="84"/>
      <c r="N944" s="84"/>
      <c r="R944" s="84"/>
      <c r="V944" s="84"/>
      <c r="Z944" s="84"/>
      <c r="AD944" s="84"/>
      <c r="AH944" s="84"/>
      <c r="AL944" s="84"/>
      <c r="AP944" s="84"/>
      <c r="AT944" s="84"/>
      <c r="AX944" s="84"/>
      <c r="BB944" s="85"/>
      <c r="BC944" s="84"/>
      <c r="BD944" s="84"/>
      <c r="BF944" s="84"/>
      <c r="BL944" s="84"/>
      <c r="BP944" s="86"/>
      <c r="BV944" s="84"/>
      <c r="CA944" s="84"/>
      <c r="CF944" s="84"/>
      <c r="CK944" s="84"/>
      <c r="CP944" s="84"/>
      <c r="CS944" s="86"/>
      <c r="CT944" s="84"/>
      <c r="CW944" s="86"/>
      <c r="CX944" s="84"/>
      <c r="DA944" s="86"/>
      <c r="DB944" s="84"/>
      <c r="DE944" s="86"/>
      <c r="DF944" s="84"/>
      <c r="DI944" s="86"/>
      <c r="DJ944" s="84"/>
      <c r="DM944" s="86"/>
      <c r="DN944" s="84"/>
      <c r="DQ944" s="86"/>
      <c r="DR944" s="85"/>
      <c r="DS944" s="85"/>
      <c r="DT944" s="84"/>
      <c r="DV944" s="84"/>
      <c r="DW944" s="157"/>
      <c r="EB944" s="84"/>
      <c r="EG944" s="84"/>
      <c r="EK944" s="84"/>
      <c r="EO944" s="84"/>
      <c r="ES944" s="84"/>
      <c r="EW944" s="84"/>
    </row>
    <row r="945" customFormat="false" ht="12.75" hidden="false" customHeight="false" outlineLevel="0" collapsed="false">
      <c r="A945" s="37"/>
      <c r="E945" s="83"/>
      <c r="J945" s="84"/>
      <c r="N945" s="84"/>
      <c r="R945" s="84"/>
      <c r="V945" s="84"/>
      <c r="Z945" s="84"/>
      <c r="AD945" s="84"/>
      <c r="AH945" s="84"/>
      <c r="AL945" s="84"/>
      <c r="AP945" s="84"/>
      <c r="AT945" s="84"/>
      <c r="AX945" s="84"/>
      <c r="BB945" s="85"/>
      <c r="BC945" s="84"/>
      <c r="BD945" s="84"/>
      <c r="BF945" s="84"/>
      <c r="BL945" s="84"/>
      <c r="BP945" s="86"/>
      <c r="BV945" s="84"/>
      <c r="CA945" s="84"/>
      <c r="CF945" s="84"/>
      <c r="CK945" s="84"/>
      <c r="CP945" s="84"/>
      <c r="CS945" s="86"/>
      <c r="CT945" s="84"/>
      <c r="CW945" s="86"/>
      <c r="CX945" s="84"/>
      <c r="DA945" s="86"/>
      <c r="DB945" s="84"/>
      <c r="DE945" s="86"/>
      <c r="DF945" s="84"/>
      <c r="DI945" s="86"/>
      <c r="DJ945" s="84"/>
      <c r="DM945" s="86"/>
      <c r="DN945" s="84"/>
      <c r="DQ945" s="86"/>
      <c r="DR945" s="85"/>
      <c r="DS945" s="85"/>
      <c r="DT945" s="84"/>
      <c r="DV945" s="84"/>
      <c r="DW945" s="157"/>
      <c r="EB945" s="84"/>
      <c r="EG945" s="84"/>
      <c r="EK945" s="84"/>
      <c r="EO945" s="84"/>
      <c r="ES945" s="84"/>
      <c r="EW945" s="84"/>
    </row>
    <row r="946" customFormat="false" ht="12.75" hidden="false" customHeight="false" outlineLevel="0" collapsed="false">
      <c r="A946" s="37"/>
      <c r="E946" s="83"/>
      <c r="J946" s="84"/>
      <c r="N946" s="84"/>
      <c r="R946" s="84"/>
      <c r="V946" s="84"/>
      <c r="Z946" s="84"/>
      <c r="AD946" s="84"/>
      <c r="AH946" s="84"/>
      <c r="AL946" s="84"/>
      <c r="AP946" s="84"/>
      <c r="AT946" s="84"/>
      <c r="AX946" s="84"/>
      <c r="BB946" s="85"/>
      <c r="BC946" s="84"/>
      <c r="BD946" s="84"/>
      <c r="BF946" s="84"/>
      <c r="BL946" s="84"/>
      <c r="BP946" s="86"/>
      <c r="BV946" s="84"/>
      <c r="CA946" s="84"/>
      <c r="CF946" s="84"/>
      <c r="CK946" s="84"/>
      <c r="CP946" s="84"/>
      <c r="CS946" s="86"/>
      <c r="CT946" s="84"/>
      <c r="CW946" s="86"/>
      <c r="CX946" s="84"/>
      <c r="DA946" s="86"/>
      <c r="DB946" s="84"/>
      <c r="DE946" s="86"/>
      <c r="DF946" s="84"/>
      <c r="DI946" s="86"/>
      <c r="DJ946" s="84"/>
      <c r="DM946" s="86"/>
      <c r="DN946" s="84"/>
      <c r="DQ946" s="86"/>
      <c r="DR946" s="85"/>
      <c r="DS946" s="85"/>
      <c r="DT946" s="84"/>
      <c r="DV946" s="84"/>
      <c r="DW946" s="157"/>
      <c r="EB946" s="84"/>
      <c r="EG946" s="84"/>
      <c r="EK946" s="84"/>
      <c r="EO946" s="84"/>
      <c r="ES946" s="84"/>
      <c r="EW946" s="84"/>
    </row>
    <row r="947" customFormat="false" ht="12.75" hidden="false" customHeight="false" outlineLevel="0" collapsed="false">
      <c r="A947" s="37"/>
      <c r="E947" s="83"/>
      <c r="J947" s="84"/>
      <c r="N947" s="84"/>
      <c r="R947" s="84"/>
      <c r="V947" s="84"/>
      <c r="Z947" s="84"/>
      <c r="AD947" s="84"/>
      <c r="AH947" s="84"/>
      <c r="AL947" s="84"/>
      <c r="AP947" s="84"/>
      <c r="AT947" s="84"/>
      <c r="AX947" s="84"/>
      <c r="BB947" s="85"/>
      <c r="BC947" s="84"/>
      <c r="BD947" s="84"/>
      <c r="BF947" s="84"/>
      <c r="BL947" s="84"/>
      <c r="BP947" s="86"/>
      <c r="BV947" s="84"/>
      <c r="CA947" s="84"/>
      <c r="CF947" s="84"/>
      <c r="CK947" s="84"/>
      <c r="CP947" s="84"/>
      <c r="CS947" s="86"/>
      <c r="CT947" s="84"/>
      <c r="CW947" s="86"/>
      <c r="CX947" s="84"/>
      <c r="DA947" s="86"/>
      <c r="DB947" s="84"/>
      <c r="DE947" s="86"/>
      <c r="DF947" s="84"/>
      <c r="DI947" s="86"/>
      <c r="DJ947" s="84"/>
      <c r="DM947" s="86"/>
      <c r="DN947" s="84"/>
      <c r="DQ947" s="86"/>
      <c r="DR947" s="85"/>
      <c r="DS947" s="85"/>
      <c r="DT947" s="84"/>
      <c r="DV947" s="84"/>
      <c r="DW947" s="157"/>
      <c r="EB947" s="84"/>
      <c r="EG947" s="84"/>
      <c r="EK947" s="84"/>
      <c r="EO947" s="84"/>
      <c r="ES947" s="84"/>
      <c r="EW947" s="84"/>
    </row>
    <row r="948" customFormat="false" ht="12.75" hidden="false" customHeight="false" outlineLevel="0" collapsed="false">
      <c r="A948" s="37"/>
      <c r="E948" s="83"/>
      <c r="J948" s="84"/>
      <c r="N948" s="84"/>
      <c r="R948" s="84"/>
      <c r="V948" s="84"/>
      <c r="Z948" s="84"/>
      <c r="AD948" s="84"/>
      <c r="AH948" s="84"/>
      <c r="AL948" s="84"/>
      <c r="AP948" s="84"/>
      <c r="AT948" s="84"/>
      <c r="AX948" s="84"/>
      <c r="BB948" s="85"/>
      <c r="BC948" s="84"/>
      <c r="BD948" s="84"/>
      <c r="BF948" s="84"/>
      <c r="BL948" s="84"/>
      <c r="BP948" s="86"/>
      <c r="BV948" s="84"/>
      <c r="CA948" s="84"/>
      <c r="CF948" s="84"/>
      <c r="CK948" s="84"/>
      <c r="CP948" s="84"/>
      <c r="CS948" s="86"/>
      <c r="CT948" s="84"/>
      <c r="CW948" s="86"/>
      <c r="CX948" s="84"/>
      <c r="DA948" s="86"/>
      <c r="DB948" s="84"/>
      <c r="DE948" s="86"/>
      <c r="DF948" s="84"/>
      <c r="DI948" s="86"/>
      <c r="DJ948" s="84"/>
      <c r="DM948" s="86"/>
      <c r="DN948" s="84"/>
      <c r="DQ948" s="86"/>
      <c r="DR948" s="85"/>
      <c r="DS948" s="85"/>
      <c r="DT948" s="84"/>
      <c r="DV948" s="84"/>
      <c r="DW948" s="157"/>
      <c r="EB948" s="84"/>
      <c r="EG948" s="84"/>
      <c r="EK948" s="84"/>
      <c r="EO948" s="84"/>
      <c r="ES948" s="84"/>
      <c r="EW948" s="84"/>
    </row>
    <row r="949" customFormat="false" ht="12.75" hidden="false" customHeight="false" outlineLevel="0" collapsed="false">
      <c r="A949" s="37"/>
      <c r="E949" s="83"/>
      <c r="J949" s="84"/>
      <c r="N949" s="84"/>
      <c r="R949" s="84"/>
      <c r="V949" s="84"/>
      <c r="Z949" s="84"/>
      <c r="AD949" s="84"/>
      <c r="AH949" s="84"/>
      <c r="AL949" s="84"/>
      <c r="AP949" s="84"/>
      <c r="AT949" s="84"/>
      <c r="AX949" s="84"/>
      <c r="BB949" s="85"/>
      <c r="BC949" s="84"/>
      <c r="BD949" s="84"/>
      <c r="BF949" s="84"/>
      <c r="BL949" s="84"/>
      <c r="BP949" s="86"/>
      <c r="BV949" s="84"/>
      <c r="CA949" s="84"/>
      <c r="CF949" s="84"/>
      <c r="CK949" s="84"/>
      <c r="CP949" s="84"/>
      <c r="CS949" s="86"/>
      <c r="CT949" s="84"/>
      <c r="CW949" s="86"/>
      <c r="CX949" s="84"/>
      <c r="DA949" s="86"/>
      <c r="DB949" s="84"/>
      <c r="DE949" s="86"/>
      <c r="DF949" s="84"/>
      <c r="DI949" s="86"/>
      <c r="DJ949" s="84"/>
      <c r="DM949" s="86"/>
      <c r="DN949" s="84"/>
      <c r="DQ949" s="86"/>
      <c r="DR949" s="85"/>
      <c r="DS949" s="85"/>
      <c r="DT949" s="84"/>
      <c r="DV949" s="84"/>
      <c r="DW949" s="157"/>
      <c r="EB949" s="84"/>
      <c r="EG949" s="84"/>
      <c r="EK949" s="84"/>
      <c r="EO949" s="84"/>
      <c r="ES949" s="84"/>
      <c r="EW949" s="84"/>
    </row>
    <row r="950" customFormat="false" ht="12.75" hidden="false" customHeight="false" outlineLevel="0" collapsed="false">
      <c r="A950" s="37"/>
      <c r="E950" s="83"/>
      <c r="J950" s="84"/>
      <c r="N950" s="84"/>
      <c r="R950" s="84"/>
      <c r="V950" s="84"/>
      <c r="Z950" s="84"/>
      <c r="AD950" s="84"/>
      <c r="AH950" s="84"/>
      <c r="AL950" s="84"/>
      <c r="AP950" s="84"/>
      <c r="AT950" s="84"/>
      <c r="AX950" s="84"/>
      <c r="BB950" s="85"/>
      <c r="BC950" s="84"/>
      <c r="BD950" s="84"/>
      <c r="BF950" s="84"/>
      <c r="BL950" s="84"/>
      <c r="BP950" s="86"/>
      <c r="BV950" s="84"/>
      <c r="CA950" s="84"/>
      <c r="CF950" s="84"/>
      <c r="CK950" s="84"/>
      <c r="CP950" s="84"/>
      <c r="CS950" s="86"/>
      <c r="CT950" s="84"/>
      <c r="CW950" s="86"/>
      <c r="CX950" s="84"/>
      <c r="DA950" s="86"/>
      <c r="DB950" s="84"/>
      <c r="DE950" s="86"/>
      <c r="DF950" s="84"/>
      <c r="DI950" s="86"/>
      <c r="DJ950" s="84"/>
      <c r="DM950" s="86"/>
      <c r="DN950" s="84"/>
      <c r="DQ950" s="86"/>
      <c r="DR950" s="85"/>
      <c r="DS950" s="85"/>
      <c r="DT950" s="84"/>
      <c r="DV950" s="84"/>
      <c r="DW950" s="157"/>
      <c r="EB950" s="84"/>
      <c r="EG950" s="84"/>
      <c r="EK950" s="84"/>
      <c r="EO950" s="84"/>
      <c r="ES950" s="84"/>
      <c r="EW950" s="84"/>
    </row>
    <row r="951" customFormat="false" ht="12.75" hidden="false" customHeight="false" outlineLevel="0" collapsed="false">
      <c r="A951" s="37"/>
      <c r="E951" s="83"/>
      <c r="J951" s="84"/>
      <c r="N951" s="84"/>
      <c r="R951" s="84"/>
      <c r="V951" s="84"/>
      <c r="Z951" s="84"/>
      <c r="AD951" s="84"/>
      <c r="AH951" s="84"/>
      <c r="AL951" s="84"/>
      <c r="AP951" s="84"/>
      <c r="AT951" s="84"/>
      <c r="AX951" s="84"/>
      <c r="BB951" s="85"/>
      <c r="BC951" s="84"/>
      <c r="BD951" s="84"/>
      <c r="BF951" s="84"/>
      <c r="BL951" s="84"/>
      <c r="BP951" s="86"/>
      <c r="BV951" s="84"/>
      <c r="CA951" s="84"/>
      <c r="CF951" s="84"/>
      <c r="CK951" s="84"/>
      <c r="CP951" s="84"/>
      <c r="CS951" s="86"/>
      <c r="CT951" s="84"/>
      <c r="CW951" s="86"/>
      <c r="CX951" s="84"/>
      <c r="DA951" s="86"/>
      <c r="DB951" s="84"/>
      <c r="DE951" s="86"/>
      <c r="DF951" s="84"/>
      <c r="DI951" s="86"/>
      <c r="DJ951" s="84"/>
      <c r="DM951" s="86"/>
      <c r="DN951" s="84"/>
      <c r="DQ951" s="86"/>
      <c r="DR951" s="85"/>
      <c r="DS951" s="85"/>
      <c r="DT951" s="84"/>
      <c r="DV951" s="84"/>
      <c r="DW951" s="157"/>
      <c r="EB951" s="84"/>
      <c r="EG951" s="84"/>
      <c r="EK951" s="84"/>
      <c r="EO951" s="84"/>
      <c r="ES951" s="84"/>
      <c r="EW951" s="84"/>
    </row>
    <row r="952" customFormat="false" ht="12.75" hidden="false" customHeight="false" outlineLevel="0" collapsed="false">
      <c r="A952" s="37"/>
      <c r="E952" s="83"/>
      <c r="J952" s="84"/>
      <c r="N952" s="84"/>
      <c r="R952" s="84"/>
      <c r="V952" s="84"/>
      <c r="Z952" s="84"/>
      <c r="AD952" s="84"/>
      <c r="AH952" s="84"/>
      <c r="AL952" s="84"/>
      <c r="AP952" s="84"/>
      <c r="AT952" s="84"/>
      <c r="AX952" s="84"/>
      <c r="BB952" s="85"/>
      <c r="BC952" s="84"/>
      <c r="BD952" s="84"/>
      <c r="BF952" s="84"/>
      <c r="BL952" s="84"/>
      <c r="BP952" s="86"/>
      <c r="BV952" s="84"/>
      <c r="CA952" s="84"/>
      <c r="CF952" s="84"/>
      <c r="CK952" s="84"/>
      <c r="CP952" s="84"/>
      <c r="CS952" s="86"/>
      <c r="CT952" s="84"/>
      <c r="CW952" s="86"/>
      <c r="CX952" s="84"/>
      <c r="DA952" s="86"/>
      <c r="DB952" s="84"/>
      <c r="DE952" s="86"/>
      <c r="DF952" s="84"/>
      <c r="DI952" s="86"/>
      <c r="DJ952" s="84"/>
      <c r="DM952" s="86"/>
      <c r="DN952" s="84"/>
      <c r="DQ952" s="86"/>
      <c r="DR952" s="85"/>
      <c r="DS952" s="85"/>
      <c r="DT952" s="84"/>
      <c r="DV952" s="84"/>
      <c r="DW952" s="157"/>
      <c r="EB952" s="84"/>
      <c r="EG952" s="84"/>
      <c r="EK952" s="84"/>
      <c r="EO952" s="84"/>
      <c r="ES952" s="84"/>
      <c r="EW952" s="84"/>
    </row>
    <row r="953" customFormat="false" ht="12.75" hidden="false" customHeight="false" outlineLevel="0" collapsed="false">
      <c r="A953" s="37"/>
      <c r="E953" s="83"/>
      <c r="J953" s="84"/>
      <c r="N953" s="84"/>
      <c r="R953" s="84"/>
      <c r="V953" s="84"/>
      <c r="Z953" s="84"/>
      <c r="AD953" s="84"/>
      <c r="AH953" s="84"/>
      <c r="AL953" s="84"/>
      <c r="AP953" s="84"/>
      <c r="AT953" s="84"/>
      <c r="AX953" s="84"/>
      <c r="BB953" s="85"/>
      <c r="BC953" s="84"/>
      <c r="BD953" s="84"/>
      <c r="BF953" s="84"/>
      <c r="BL953" s="84"/>
      <c r="BP953" s="86"/>
      <c r="BV953" s="84"/>
      <c r="CA953" s="84"/>
      <c r="CF953" s="84"/>
      <c r="CK953" s="84"/>
      <c r="CP953" s="84"/>
      <c r="CS953" s="86"/>
      <c r="CT953" s="84"/>
      <c r="CW953" s="86"/>
      <c r="CX953" s="84"/>
      <c r="DA953" s="86"/>
      <c r="DB953" s="84"/>
      <c r="DE953" s="86"/>
      <c r="DF953" s="84"/>
      <c r="DI953" s="86"/>
      <c r="DJ953" s="84"/>
      <c r="DM953" s="86"/>
      <c r="DN953" s="84"/>
      <c r="DQ953" s="86"/>
      <c r="DR953" s="85"/>
      <c r="DS953" s="85"/>
      <c r="DT953" s="84"/>
      <c r="DV953" s="84"/>
      <c r="DW953" s="157"/>
      <c r="EB953" s="84"/>
      <c r="EG953" s="84"/>
      <c r="EK953" s="84"/>
      <c r="EO953" s="84"/>
      <c r="ES953" s="84"/>
      <c r="EW953" s="84"/>
    </row>
    <row r="954" customFormat="false" ht="12.75" hidden="false" customHeight="false" outlineLevel="0" collapsed="false">
      <c r="A954" s="37"/>
      <c r="E954" s="83"/>
      <c r="J954" s="84"/>
      <c r="N954" s="84"/>
      <c r="R954" s="84"/>
      <c r="V954" s="84"/>
      <c r="Z954" s="84"/>
      <c r="AD954" s="84"/>
      <c r="AH954" s="84"/>
      <c r="AL954" s="84"/>
      <c r="AP954" s="84"/>
      <c r="AT954" s="84"/>
      <c r="AX954" s="84"/>
      <c r="BB954" s="85"/>
      <c r="BC954" s="84"/>
      <c r="BD954" s="84"/>
      <c r="BF954" s="84"/>
      <c r="BL954" s="84"/>
      <c r="BP954" s="86"/>
      <c r="BV954" s="84"/>
      <c r="CA954" s="84"/>
      <c r="CF954" s="84"/>
      <c r="CK954" s="84"/>
      <c r="CP954" s="84"/>
      <c r="CS954" s="86"/>
      <c r="CT954" s="84"/>
      <c r="CW954" s="86"/>
      <c r="CX954" s="84"/>
      <c r="DA954" s="86"/>
      <c r="DB954" s="84"/>
      <c r="DE954" s="86"/>
      <c r="DF954" s="84"/>
      <c r="DI954" s="86"/>
      <c r="DJ954" s="84"/>
      <c r="DM954" s="86"/>
      <c r="DN954" s="84"/>
      <c r="DQ954" s="86"/>
      <c r="DR954" s="85"/>
      <c r="DS954" s="85"/>
      <c r="DT954" s="84"/>
      <c r="DV954" s="84"/>
      <c r="DW954" s="157"/>
      <c r="EB954" s="84"/>
      <c r="EG954" s="84"/>
      <c r="EK954" s="84"/>
      <c r="EO954" s="84"/>
      <c r="ES954" s="84"/>
      <c r="EW954" s="84"/>
    </row>
    <row r="955" customFormat="false" ht="12.75" hidden="false" customHeight="false" outlineLevel="0" collapsed="false">
      <c r="A955" s="37"/>
      <c r="E955" s="83"/>
      <c r="J955" s="84"/>
      <c r="N955" s="84"/>
      <c r="R955" s="84"/>
      <c r="V955" s="84"/>
      <c r="Z955" s="84"/>
      <c r="AD955" s="84"/>
      <c r="AH955" s="84"/>
      <c r="AL955" s="84"/>
      <c r="AP955" s="84"/>
      <c r="AT955" s="84"/>
      <c r="AX955" s="84"/>
      <c r="BB955" s="85"/>
      <c r="BC955" s="84"/>
      <c r="BD955" s="84"/>
      <c r="BF955" s="84"/>
      <c r="BL955" s="84"/>
      <c r="BP955" s="86"/>
      <c r="BV955" s="84"/>
      <c r="CA955" s="84"/>
      <c r="CF955" s="84"/>
      <c r="CK955" s="84"/>
      <c r="CP955" s="84"/>
      <c r="CS955" s="86"/>
      <c r="CT955" s="84"/>
      <c r="CW955" s="86"/>
      <c r="CX955" s="84"/>
      <c r="DA955" s="86"/>
      <c r="DB955" s="84"/>
      <c r="DE955" s="86"/>
      <c r="DF955" s="84"/>
      <c r="DI955" s="86"/>
      <c r="DJ955" s="84"/>
      <c r="DM955" s="86"/>
      <c r="DN955" s="84"/>
      <c r="DQ955" s="86"/>
      <c r="DR955" s="85"/>
      <c r="DS955" s="85"/>
      <c r="DT955" s="84"/>
      <c r="DV955" s="84"/>
      <c r="DW955" s="157"/>
      <c r="EB955" s="84"/>
      <c r="EG955" s="84"/>
      <c r="EK955" s="84"/>
      <c r="EO955" s="84"/>
      <c r="ES955" s="84"/>
      <c r="EW955" s="84"/>
    </row>
    <row r="956" customFormat="false" ht="12.75" hidden="false" customHeight="false" outlineLevel="0" collapsed="false">
      <c r="A956" s="37"/>
      <c r="E956" s="83"/>
      <c r="J956" s="84"/>
      <c r="N956" s="84"/>
      <c r="R956" s="84"/>
      <c r="V956" s="84"/>
      <c r="Z956" s="84"/>
      <c r="AD956" s="84"/>
      <c r="AH956" s="84"/>
      <c r="AL956" s="84"/>
      <c r="AP956" s="84"/>
      <c r="AT956" s="84"/>
      <c r="AX956" s="84"/>
      <c r="BB956" s="85"/>
      <c r="BC956" s="84"/>
      <c r="BD956" s="84"/>
      <c r="BF956" s="84"/>
      <c r="BL956" s="84"/>
      <c r="BP956" s="86"/>
      <c r="BV956" s="84"/>
      <c r="CA956" s="84"/>
      <c r="CF956" s="84"/>
      <c r="CK956" s="84"/>
      <c r="CP956" s="84"/>
      <c r="CS956" s="86"/>
      <c r="CT956" s="84"/>
      <c r="CW956" s="86"/>
      <c r="CX956" s="84"/>
      <c r="DA956" s="86"/>
      <c r="DB956" s="84"/>
      <c r="DE956" s="86"/>
      <c r="DF956" s="84"/>
      <c r="DI956" s="86"/>
      <c r="DJ956" s="84"/>
      <c r="DM956" s="86"/>
      <c r="DN956" s="84"/>
      <c r="DQ956" s="86"/>
      <c r="DR956" s="85"/>
      <c r="DS956" s="85"/>
      <c r="DT956" s="84"/>
      <c r="DV956" s="84"/>
      <c r="DW956" s="157"/>
      <c r="EB956" s="84"/>
      <c r="EG956" s="84"/>
      <c r="EK956" s="84"/>
      <c r="EO956" s="84"/>
      <c r="ES956" s="84"/>
      <c r="EW956" s="84"/>
    </row>
    <row r="957" customFormat="false" ht="12.75" hidden="false" customHeight="false" outlineLevel="0" collapsed="false">
      <c r="A957" s="37"/>
      <c r="E957" s="83"/>
      <c r="J957" s="84"/>
      <c r="N957" s="84"/>
      <c r="R957" s="84"/>
      <c r="V957" s="84"/>
      <c r="Z957" s="84"/>
      <c r="AD957" s="84"/>
      <c r="AH957" s="84"/>
      <c r="AL957" s="84"/>
      <c r="AP957" s="84"/>
      <c r="AT957" s="84"/>
      <c r="AX957" s="84"/>
      <c r="BB957" s="85"/>
      <c r="BC957" s="84"/>
      <c r="BD957" s="84"/>
      <c r="BF957" s="84"/>
      <c r="BL957" s="84"/>
      <c r="BP957" s="86"/>
      <c r="BV957" s="84"/>
      <c r="CA957" s="84"/>
      <c r="CF957" s="84"/>
      <c r="CK957" s="84"/>
      <c r="CP957" s="84"/>
      <c r="CS957" s="86"/>
      <c r="CT957" s="84"/>
      <c r="CW957" s="86"/>
      <c r="CX957" s="84"/>
      <c r="DA957" s="86"/>
      <c r="DB957" s="84"/>
      <c r="DE957" s="86"/>
      <c r="DF957" s="84"/>
      <c r="DI957" s="86"/>
      <c r="DJ957" s="84"/>
      <c r="DM957" s="86"/>
      <c r="DN957" s="84"/>
      <c r="DQ957" s="86"/>
      <c r="DR957" s="85"/>
      <c r="DS957" s="85"/>
      <c r="DT957" s="84"/>
      <c r="DV957" s="84"/>
      <c r="DW957" s="157"/>
      <c r="EB957" s="84"/>
      <c r="EG957" s="84"/>
      <c r="EK957" s="84"/>
      <c r="EO957" s="84"/>
      <c r="ES957" s="84"/>
      <c r="EW957" s="84"/>
    </row>
    <row r="958" customFormat="false" ht="12.75" hidden="false" customHeight="false" outlineLevel="0" collapsed="false">
      <c r="A958" s="37"/>
      <c r="E958" s="83"/>
      <c r="J958" s="84"/>
      <c r="N958" s="84"/>
      <c r="R958" s="84"/>
      <c r="V958" s="84"/>
      <c r="Z958" s="84"/>
      <c r="AD958" s="84"/>
      <c r="AH958" s="84"/>
      <c r="AL958" s="84"/>
      <c r="AP958" s="84"/>
      <c r="AT958" s="84"/>
      <c r="AX958" s="84"/>
      <c r="BB958" s="85"/>
      <c r="BC958" s="84"/>
      <c r="BD958" s="84"/>
      <c r="BF958" s="84"/>
      <c r="BL958" s="84"/>
      <c r="BP958" s="86"/>
      <c r="BV958" s="84"/>
      <c r="CA958" s="84"/>
      <c r="CF958" s="84"/>
      <c r="CK958" s="84"/>
      <c r="CP958" s="84"/>
      <c r="CS958" s="86"/>
      <c r="CT958" s="84"/>
      <c r="CW958" s="86"/>
      <c r="CX958" s="84"/>
      <c r="DA958" s="86"/>
      <c r="DB958" s="84"/>
      <c r="DE958" s="86"/>
      <c r="DF958" s="84"/>
      <c r="DI958" s="86"/>
      <c r="DJ958" s="84"/>
      <c r="DM958" s="86"/>
      <c r="DN958" s="84"/>
      <c r="DQ958" s="86"/>
      <c r="DR958" s="85"/>
      <c r="DS958" s="85"/>
      <c r="DT958" s="84"/>
      <c r="DV958" s="84"/>
      <c r="DW958" s="157"/>
      <c r="EB958" s="84"/>
      <c r="EG958" s="84"/>
      <c r="EK958" s="84"/>
      <c r="EO958" s="84"/>
      <c r="ES958" s="84"/>
      <c r="EW958" s="84"/>
    </row>
    <row r="959" customFormat="false" ht="12.75" hidden="false" customHeight="false" outlineLevel="0" collapsed="false">
      <c r="A959" s="37"/>
      <c r="E959" s="83"/>
      <c r="J959" s="84"/>
      <c r="N959" s="84"/>
      <c r="R959" s="84"/>
      <c r="V959" s="84"/>
      <c r="Z959" s="84"/>
      <c r="AD959" s="84"/>
      <c r="AH959" s="84"/>
      <c r="AL959" s="84"/>
      <c r="AP959" s="84"/>
      <c r="AT959" s="84"/>
      <c r="AX959" s="84"/>
      <c r="BB959" s="85"/>
      <c r="BC959" s="84"/>
      <c r="BD959" s="84"/>
      <c r="BF959" s="84"/>
      <c r="BL959" s="84"/>
      <c r="BP959" s="86"/>
      <c r="BV959" s="84"/>
      <c r="CA959" s="84"/>
      <c r="CF959" s="84"/>
      <c r="CK959" s="84"/>
      <c r="CP959" s="84"/>
      <c r="CS959" s="86"/>
      <c r="CT959" s="84"/>
      <c r="CW959" s="86"/>
      <c r="CX959" s="84"/>
      <c r="DA959" s="86"/>
      <c r="DB959" s="84"/>
      <c r="DE959" s="86"/>
      <c r="DF959" s="84"/>
      <c r="DI959" s="86"/>
      <c r="DJ959" s="84"/>
      <c r="DM959" s="86"/>
      <c r="DN959" s="84"/>
      <c r="DQ959" s="86"/>
      <c r="DR959" s="85"/>
      <c r="DS959" s="85"/>
      <c r="DT959" s="84"/>
      <c r="DV959" s="84"/>
      <c r="DW959" s="157"/>
      <c r="EB959" s="84"/>
      <c r="EG959" s="84"/>
      <c r="EK959" s="84"/>
      <c r="EO959" s="84"/>
      <c r="ES959" s="84"/>
      <c r="EW959" s="84"/>
    </row>
    <row r="960" customFormat="false" ht="12.75" hidden="false" customHeight="false" outlineLevel="0" collapsed="false">
      <c r="A960" s="37"/>
      <c r="E960" s="83"/>
      <c r="J960" s="84"/>
      <c r="N960" s="84"/>
      <c r="R960" s="84"/>
      <c r="V960" s="84"/>
      <c r="Z960" s="84"/>
      <c r="AD960" s="84"/>
      <c r="AH960" s="84"/>
      <c r="AL960" s="84"/>
      <c r="AP960" s="84"/>
      <c r="AT960" s="84"/>
      <c r="AX960" s="84"/>
      <c r="BB960" s="85"/>
      <c r="BC960" s="84"/>
      <c r="BD960" s="84"/>
      <c r="BF960" s="84"/>
      <c r="BL960" s="84"/>
      <c r="BP960" s="86"/>
      <c r="BV960" s="84"/>
      <c r="CA960" s="84"/>
      <c r="CF960" s="84"/>
      <c r="CK960" s="84"/>
      <c r="CP960" s="84"/>
      <c r="CS960" s="86"/>
      <c r="CT960" s="84"/>
      <c r="CW960" s="86"/>
      <c r="CX960" s="84"/>
      <c r="DA960" s="86"/>
      <c r="DB960" s="84"/>
      <c r="DE960" s="86"/>
      <c r="DF960" s="84"/>
      <c r="DI960" s="86"/>
      <c r="DJ960" s="84"/>
      <c r="DM960" s="86"/>
      <c r="DN960" s="84"/>
      <c r="DQ960" s="86"/>
      <c r="DR960" s="85"/>
      <c r="DS960" s="85"/>
      <c r="DT960" s="84"/>
      <c r="DV960" s="84"/>
      <c r="DW960" s="157"/>
      <c r="EB960" s="84"/>
      <c r="EG960" s="84"/>
      <c r="EK960" s="84"/>
      <c r="EO960" s="84"/>
      <c r="ES960" s="84"/>
      <c r="EW960" s="84"/>
    </row>
    <row r="961" customFormat="false" ht="12.75" hidden="false" customHeight="false" outlineLevel="0" collapsed="false">
      <c r="A961" s="37"/>
      <c r="E961" s="83"/>
      <c r="J961" s="84"/>
      <c r="N961" s="84"/>
      <c r="R961" s="84"/>
      <c r="V961" s="84"/>
      <c r="Z961" s="84"/>
      <c r="AD961" s="84"/>
      <c r="AH961" s="84"/>
      <c r="AL961" s="84"/>
      <c r="AP961" s="84"/>
      <c r="AT961" s="84"/>
      <c r="AX961" s="84"/>
      <c r="BB961" s="85"/>
      <c r="BC961" s="84"/>
      <c r="BD961" s="84"/>
      <c r="BF961" s="84"/>
      <c r="BL961" s="84"/>
      <c r="BP961" s="86"/>
      <c r="BV961" s="84"/>
      <c r="CA961" s="84"/>
      <c r="CF961" s="84"/>
      <c r="CK961" s="84"/>
      <c r="CP961" s="84"/>
      <c r="CS961" s="86"/>
      <c r="CT961" s="84"/>
      <c r="CW961" s="86"/>
      <c r="CX961" s="84"/>
      <c r="DA961" s="86"/>
      <c r="DB961" s="84"/>
      <c r="DE961" s="86"/>
      <c r="DF961" s="84"/>
      <c r="DI961" s="86"/>
      <c r="DJ961" s="84"/>
      <c r="DM961" s="86"/>
      <c r="DN961" s="84"/>
      <c r="DQ961" s="86"/>
      <c r="DR961" s="85"/>
      <c r="DS961" s="85"/>
      <c r="DT961" s="84"/>
      <c r="DV961" s="84"/>
      <c r="DW961" s="157"/>
      <c r="EB961" s="84"/>
      <c r="EG961" s="84"/>
      <c r="EK961" s="84"/>
      <c r="EO961" s="84"/>
      <c r="ES961" s="84"/>
      <c r="EW961" s="84"/>
    </row>
    <row r="962" customFormat="false" ht="12.75" hidden="false" customHeight="false" outlineLevel="0" collapsed="false">
      <c r="A962" s="37"/>
      <c r="E962" s="83"/>
      <c r="J962" s="84"/>
      <c r="N962" s="84"/>
      <c r="R962" s="84"/>
      <c r="V962" s="84"/>
      <c r="Z962" s="84"/>
      <c r="AD962" s="84"/>
      <c r="AH962" s="84"/>
      <c r="AL962" s="84"/>
      <c r="AP962" s="84"/>
      <c r="AT962" s="84"/>
      <c r="AX962" s="84"/>
      <c r="BB962" s="85"/>
      <c r="BC962" s="84"/>
      <c r="BD962" s="84"/>
      <c r="BF962" s="84"/>
      <c r="BL962" s="84"/>
      <c r="BP962" s="86"/>
      <c r="BV962" s="84"/>
      <c r="CA962" s="84"/>
      <c r="CF962" s="84"/>
      <c r="CK962" s="84"/>
      <c r="CP962" s="84"/>
      <c r="CS962" s="86"/>
      <c r="CT962" s="84"/>
      <c r="CW962" s="86"/>
      <c r="CX962" s="84"/>
      <c r="DA962" s="86"/>
      <c r="DB962" s="84"/>
      <c r="DE962" s="86"/>
      <c r="DF962" s="84"/>
      <c r="DI962" s="86"/>
      <c r="DJ962" s="84"/>
      <c r="DM962" s="86"/>
      <c r="DN962" s="84"/>
      <c r="DQ962" s="86"/>
      <c r="DR962" s="85"/>
      <c r="DS962" s="85"/>
      <c r="DT962" s="84"/>
      <c r="DV962" s="84"/>
      <c r="DW962" s="157"/>
      <c r="EB962" s="84"/>
      <c r="EG962" s="84"/>
      <c r="EK962" s="84"/>
      <c r="EO962" s="84"/>
      <c r="ES962" s="84"/>
      <c r="EW962" s="84"/>
    </row>
    <row r="963" customFormat="false" ht="12.75" hidden="false" customHeight="false" outlineLevel="0" collapsed="false">
      <c r="A963" s="37"/>
      <c r="E963" s="83"/>
      <c r="J963" s="84"/>
      <c r="N963" s="84"/>
      <c r="R963" s="84"/>
      <c r="V963" s="84"/>
      <c r="Z963" s="84"/>
      <c r="AD963" s="84"/>
      <c r="AH963" s="84"/>
      <c r="AL963" s="84"/>
      <c r="AP963" s="84"/>
      <c r="AT963" s="84"/>
      <c r="AX963" s="84"/>
      <c r="BB963" s="85"/>
      <c r="BC963" s="84"/>
      <c r="BD963" s="84"/>
      <c r="BF963" s="84"/>
      <c r="BL963" s="84"/>
      <c r="BP963" s="86"/>
      <c r="BV963" s="84"/>
      <c r="CA963" s="84"/>
      <c r="CF963" s="84"/>
      <c r="CK963" s="84"/>
      <c r="CP963" s="84"/>
      <c r="CS963" s="86"/>
      <c r="CT963" s="84"/>
      <c r="CW963" s="86"/>
      <c r="CX963" s="84"/>
      <c r="DA963" s="86"/>
      <c r="DB963" s="84"/>
      <c r="DE963" s="86"/>
      <c r="DF963" s="84"/>
      <c r="DI963" s="86"/>
      <c r="DJ963" s="84"/>
      <c r="DM963" s="86"/>
      <c r="DN963" s="84"/>
      <c r="DQ963" s="86"/>
      <c r="DR963" s="85"/>
      <c r="DS963" s="85"/>
      <c r="DT963" s="84"/>
      <c r="DV963" s="84"/>
      <c r="DW963" s="157"/>
      <c r="EB963" s="84"/>
      <c r="EG963" s="84"/>
      <c r="EK963" s="84"/>
      <c r="EO963" s="84"/>
      <c r="ES963" s="84"/>
      <c r="EW963" s="84"/>
    </row>
    <row r="964" customFormat="false" ht="12.75" hidden="false" customHeight="false" outlineLevel="0" collapsed="false">
      <c r="A964" s="37"/>
      <c r="E964" s="83"/>
      <c r="J964" s="84"/>
      <c r="N964" s="84"/>
      <c r="R964" s="84"/>
      <c r="V964" s="84"/>
      <c r="Z964" s="84"/>
      <c r="AD964" s="84"/>
      <c r="AH964" s="84"/>
      <c r="AL964" s="84"/>
      <c r="AP964" s="84"/>
      <c r="AT964" s="84"/>
      <c r="AX964" s="84"/>
      <c r="BB964" s="85"/>
      <c r="BC964" s="84"/>
      <c r="BD964" s="84"/>
      <c r="BF964" s="84"/>
      <c r="BL964" s="84"/>
      <c r="BP964" s="86"/>
      <c r="BV964" s="84"/>
      <c r="CA964" s="84"/>
      <c r="CF964" s="84"/>
      <c r="CK964" s="84"/>
      <c r="CP964" s="84"/>
      <c r="CS964" s="86"/>
      <c r="CT964" s="84"/>
      <c r="CW964" s="86"/>
      <c r="CX964" s="84"/>
      <c r="DA964" s="86"/>
      <c r="DB964" s="84"/>
      <c r="DE964" s="86"/>
      <c r="DF964" s="84"/>
      <c r="DI964" s="86"/>
      <c r="DJ964" s="84"/>
      <c r="DM964" s="86"/>
      <c r="DN964" s="84"/>
      <c r="DQ964" s="86"/>
      <c r="DR964" s="85"/>
      <c r="DS964" s="85"/>
      <c r="DT964" s="84"/>
      <c r="DV964" s="84"/>
      <c r="DW964" s="157"/>
      <c r="EB964" s="84"/>
      <c r="EG964" s="84"/>
      <c r="EK964" s="84"/>
      <c r="EO964" s="84"/>
      <c r="ES964" s="84"/>
      <c r="EW964" s="84"/>
    </row>
    <row r="965" customFormat="false" ht="12.75" hidden="false" customHeight="false" outlineLevel="0" collapsed="false">
      <c r="A965" s="37"/>
      <c r="E965" s="83"/>
      <c r="J965" s="84"/>
      <c r="N965" s="84"/>
      <c r="R965" s="84"/>
      <c r="V965" s="84"/>
      <c r="Z965" s="84"/>
      <c r="AD965" s="84"/>
      <c r="AH965" s="84"/>
      <c r="AL965" s="84"/>
      <c r="AP965" s="84"/>
      <c r="AT965" s="84"/>
      <c r="AX965" s="84"/>
      <c r="BB965" s="85"/>
      <c r="BC965" s="84"/>
      <c r="BD965" s="84"/>
      <c r="BF965" s="84"/>
      <c r="BL965" s="84"/>
      <c r="BP965" s="86"/>
      <c r="BV965" s="84"/>
      <c r="CA965" s="84"/>
      <c r="CF965" s="84"/>
      <c r="CK965" s="84"/>
      <c r="CP965" s="84"/>
      <c r="CS965" s="86"/>
      <c r="CT965" s="84"/>
      <c r="CW965" s="86"/>
      <c r="CX965" s="84"/>
      <c r="DA965" s="86"/>
      <c r="DB965" s="84"/>
      <c r="DE965" s="86"/>
      <c r="DF965" s="84"/>
      <c r="DI965" s="86"/>
      <c r="DJ965" s="84"/>
      <c r="DM965" s="86"/>
      <c r="DN965" s="84"/>
      <c r="DQ965" s="86"/>
      <c r="DR965" s="85"/>
      <c r="DS965" s="85"/>
      <c r="DT965" s="84"/>
      <c r="DV965" s="84"/>
      <c r="DW965" s="157"/>
      <c r="EB965" s="84"/>
      <c r="EG965" s="84"/>
      <c r="EK965" s="84"/>
      <c r="EO965" s="84"/>
      <c r="ES965" s="84"/>
      <c r="EW965" s="84"/>
    </row>
    <row r="966" customFormat="false" ht="12.75" hidden="false" customHeight="false" outlineLevel="0" collapsed="false">
      <c r="A966" s="37"/>
      <c r="E966" s="83"/>
      <c r="J966" s="84"/>
      <c r="N966" s="84"/>
      <c r="R966" s="84"/>
      <c r="V966" s="84"/>
      <c r="Z966" s="84"/>
      <c r="AD966" s="84"/>
      <c r="AH966" s="84"/>
      <c r="AL966" s="84"/>
      <c r="AP966" s="84"/>
      <c r="AT966" s="84"/>
      <c r="AX966" s="84"/>
      <c r="BB966" s="85"/>
      <c r="BC966" s="84"/>
      <c r="BD966" s="84"/>
      <c r="BF966" s="84"/>
      <c r="BL966" s="84"/>
      <c r="BP966" s="86"/>
      <c r="BV966" s="84"/>
      <c r="CA966" s="84"/>
      <c r="CF966" s="84"/>
      <c r="CK966" s="84"/>
      <c r="CP966" s="84"/>
      <c r="CS966" s="86"/>
      <c r="CT966" s="84"/>
      <c r="CW966" s="86"/>
      <c r="CX966" s="84"/>
      <c r="DA966" s="86"/>
      <c r="DB966" s="84"/>
      <c r="DE966" s="86"/>
      <c r="DF966" s="84"/>
      <c r="DI966" s="86"/>
      <c r="DJ966" s="84"/>
      <c r="DM966" s="86"/>
      <c r="DN966" s="84"/>
      <c r="DQ966" s="86"/>
      <c r="DR966" s="85"/>
      <c r="DS966" s="85"/>
      <c r="DT966" s="84"/>
      <c r="DV966" s="84"/>
      <c r="DW966" s="157"/>
      <c r="EB966" s="84"/>
      <c r="EG966" s="84"/>
      <c r="EK966" s="84"/>
      <c r="EO966" s="84"/>
      <c r="ES966" s="84"/>
      <c r="EW966" s="84"/>
    </row>
    <row r="967" customFormat="false" ht="12.75" hidden="false" customHeight="false" outlineLevel="0" collapsed="false">
      <c r="A967" s="37"/>
      <c r="E967" s="83"/>
      <c r="J967" s="84"/>
      <c r="N967" s="84"/>
      <c r="R967" s="84"/>
      <c r="V967" s="84"/>
      <c r="Z967" s="84"/>
      <c r="AD967" s="84"/>
      <c r="AH967" s="84"/>
      <c r="AL967" s="84"/>
      <c r="AP967" s="84"/>
      <c r="AT967" s="84"/>
      <c r="AX967" s="84"/>
      <c r="BB967" s="85"/>
      <c r="BC967" s="84"/>
      <c r="BD967" s="84"/>
      <c r="BF967" s="84"/>
      <c r="BL967" s="84"/>
      <c r="BP967" s="86"/>
      <c r="BV967" s="84"/>
      <c r="CA967" s="84"/>
      <c r="CF967" s="84"/>
      <c r="CK967" s="84"/>
      <c r="CP967" s="84"/>
      <c r="CS967" s="86"/>
      <c r="CT967" s="84"/>
      <c r="CW967" s="86"/>
      <c r="CX967" s="84"/>
      <c r="DA967" s="86"/>
      <c r="DB967" s="84"/>
      <c r="DE967" s="86"/>
      <c r="DF967" s="84"/>
      <c r="DI967" s="86"/>
      <c r="DJ967" s="84"/>
      <c r="DM967" s="86"/>
      <c r="DN967" s="84"/>
      <c r="DQ967" s="86"/>
      <c r="DR967" s="85"/>
      <c r="DS967" s="85"/>
      <c r="DT967" s="84"/>
      <c r="DV967" s="84"/>
      <c r="DW967" s="157"/>
      <c r="EB967" s="84"/>
      <c r="EG967" s="84"/>
      <c r="EK967" s="84"/>
      <c r="EO967" s="84"/>
      <c r="ES967" s="84"/>
      <c r="EW967" s="84"/>
    </row>
    <row r="968" customFormat="false" ht="12.75" hidden="false" customHeight="false" outlineLevel="0" collapsed="false">
      <c r="A968" s="37"/>
      <c r="E968" s="83"/>
      <c r="J968" s="84"/>
      <c r="N968" s="84"/>
      <c r="R968" s="84"/>
      <c r="V968" s="84"/>
      <c r="Z968" s="84"/>
      <c r="AD968" s="84"/>
      <c r="AH968" s="84"/>
      <c r="AL968" s="84"/>
      <c r="AP968" s="84"/>
      <c r="AT968" s="84"/>
      <c r="AX968" s="84"/>
      <c r="BB968" s="85"/>
      <c r="BC968" s="84"/>
      <c r="BD968" s="84"/>
      <c r="BF968" s="84"/>
      <c r="BL968" s="84"/>
      <c r="BP968" s="86"/>
      <c r="BV968" s="84"/>
      <c r="CA968" s="84"/>
      <c r="CF968" s="84"/>
      <c r="CK968" s="84"/>
      <c r="CP968" s="84"/>
      <c r="CS968" s="86"/>
      <c r="CT968" s="84"/>
      <c r="CW968" s="86"/>
      <c r="CX968" s="84"/>
      <c r="DA968" s="86"/>
      <c r="DB968" s="84"/>
      <c r="DE968" s="86"/>
      <c r="DF968" s="84"/>
      <c r="DI968" s="86"/>
      <c r="DJ968" s="84"/>
      <c r="DM968" s="86"/>
      <c r="DN968" s="84"/>
      <c r="DQ968" s="86"/>
      <c r="DR968" s="85"/>
      <c r="DS968" s="85"/>
      <c r="DT968" s="84"/>
      <c r="DV968" s="84"/>
      <c r="DW968" s="157"/>
      <c r="EB968" s="84"/>
      <c r="EG968" s="84"/>
      <c r="EK968" s="84"/>
      <c r="EO968" s="84"/>
      <c r="ES968" s="84"/>
      <c r="EW968" s="84"/>
    </row>
    <row r="969" customFormat="false" ht="12.75" hidden="false" customHeight="false" outlineLevel="0" collapsed="false">
      <c r="A969" s="37"/>
      <c r="E969" s="83"/>
      <c r="J969" s="84"/>
      <c r="N969" s="84"/>
      <c r="R969" s="84"/>
      <c r="V969" s="84"/>
      <c r="Z969" s="84"/>
      <c r="AD969" s="84"/>
      <c r="AH969" s="84"/>
      <c r="AL969" s="84"/>
      <c r="AP969" s="84"/>
      <c r="AT969" s="84"/>
      <c r="AX969" s="84"/>
      <c r="BB969" s="85"/>
      <c r="BC969" s="84"/>
      <c r="BD969" s="84"/>
      <c r="BF969" s="84"/>
      <c r="BL969" s="84"/>
      <c r="BP969" s="86"/>
      <c r="BV969" s="84"/>
      <c r="CA969" s="84"/>
      <c r="CF969" s="84"/>
      <c r="CK969" s="84"/>
      <c r="CP969" s="84"/>
      <c r="CS969" s="86"/>
      <c r="CT969" s="84"/>
      <c r="CW969" s="86"/>
      <c r="CX969" s="84"/>
      <c r="DA969" s="86"/>
      <c r="DB969" s="84"/>
      <c r="DE969" s="86"/>
      <c r="DF969" s="84"/>
      <c r="DI969" s="86"/>
      <c r="DJ969" s="84"/>
      <c r="DM969" s="86"/>
      <c r="DN969" s="84"/>
      <c r="DQ969" s="86"/>
      <c r="DR969" s="85"/>
      <c r="DS969" s="85"/>
      <c r="DT969" s="84"/>
      <c r="DV969" s="84"/>
      <c r="DW969" s="157"/>
      <c r="EB969" s="84"/>
      <c r="EG969" s="84"/>
      <c r="EK969" s="84"/>
      <c r="EO969" s="84"/>
      <c r="ES969" s="84"/>
      <c r="EW969" s="84"/>
    </row>
    <row r="970" customFormat="false" ht="12.75" hidden="false" customHeight="false" outlineLevel="0" collapsed="false">
      <c r="A970" s="37"/>
      <c r="E970" s="83"/>
      <c r="J970" s="84"/>
      <c r="N970" s="84"/>
      <c r="R970" s="84"/>
      <c r="V970" s="84"/>
      <c r="Z970" s="84"/>
      <c r="AD970" s="84"/>
      <c r="AH970" s="84"/>
      <c r="AL970" s="84"/>
      <c r="AP970" s="84"/>
      <c r="AT970" s="84"/>
      <c r="AX970" s="84"/>
      <c r="BB970" s="85"/>
      <c r="BC970" s="84"/>
      <c r="BD970" s="84"/>
      <c r="BF970" s="84"/>
      <c r="BL970" s="84"/>
      <c r="BP970" s="86"/>
      <c r="BV970" s="84"/>
      <c r="CA970" s="84"/>
      <c r="CF970" s="84"/>
      <c r="CK970" s="84"/>
      <c r="CP970" s="84"/>
      <c r="CS970" s="86"/>
      <c r="CT970" s="84"/>
      <c r="CW970" s="86"/>
      <c r="CX970" s="84"/>
      <c r="DA970" s="86"/>
      <c r="DB970" s="84"/>
      <c r="DE970" s="86"/>
      <c r="DF970" s="84"/>
      <c r="DI970" s="86"/>
      <c r="DJ970" s="84"/>
      <c r="DM970" s="86"/>
      <c r="DN970" s="84"/>
      <c r="DQ970" s="86"/>
      <c r="DR970" s="85"/>
      <c r="DS970" s="85"/>
      <c r="DT970" s="84"/>
      <c r="DV970" s="84"/>
      <c r="DW970" s="157"/>
      <c r="EB970" s="84"/>
      <c r="EG970" s="84"/>
      <c r="EK970" s="84"/>
      <c r="EO970" s="84"/>
      <c r="ES970" s="84"/>
      <c r="EW970" s="84"/>
    </row>
    <row r="971" customFormat="false" ht="12.75" hidden="false" customHeight="false" outlineLevel="0" collapsed="false">
      <c r="A971" s="37"/>
      <c r="E971" s="83"/>
      <c r="J971" s="84"/>
      <c r="N971" s="84"/>
      <c r="R971" s="84"/>
      <c r="V971" s="84"/>
      <c r="Z971" s="84"/>
      <c r="AD971" s="84"/>
      <c r="AH971" s="84"/>
      <c r="AL971" s="84"/>
      <c r="AP971" s="84"/>
      <c r="AT971" s="84"/>
      <c r="AX971" s="84"/>
      <c r="BB971" s="85"/>
      <c r="BC971" s="84"/>
      <c r="BD971" s="84"/>
      <c r="BF971" s="84"/>
      <c r="BL971" s="84"/>
      <c r="BP971" s="86"/>
      <c r="BV971" s="84"/>
      <c r="CA971" s="84"/>
      <c r="CF971" s="84"/>
      <c r="CK971" s="84"/>
      <c r="CP971" s="84"/>
      <c r="CS971" s="86"/>
      <c r="CT971" s="84"/>
      <c r="CW971" s="86"/>
      <c r="CX971" s="84"/>
      <c r="DA971" s="86"/>
      <c r="DB971" s="84"/>
      <c r="DE971" s="86"/>
      <c r="DF971" s="84"/>
      <c r="DI971" s="86"/>
      <c r="DJ971" s="84"/>
      <c r="DM971" s="86"/>
      <c r="DN971" s="84"/>
      <c r="DQ971" s="86"/>
      <c r="DR971" s="85"/>
      <c r="DS971" s="85"/>
      <c r="DT971" s="84"/>
      <c r="DV971" s="84"/>
      <c r="DW971" s="157"/>
      <c r="EB971" s="84"/>
      <c r="EG971" s="84"/>
      <c r="EK971" s="84"/>
      <c r="EO971" s="84"/>
      <c r="ES971" s="84"/>
      <c r="EW971" s="84"/>
    </row>
    <row r="972" customFormat="false" ht="12.75" hidden="false" customHeight="false" outlineLevel="0" collapsed="false">
      <c r="A972" s="37"/>
      <c r="E972" s="83"/>
      <c r="J972" s="84"/>
      <c r="N972" s="84"/>
      <c r="R972" s="84"/>
      <c r="V972" s="84"/>
      <c r="Z972" s="84"/>
      <c r="AD972" s="84"/>
      <c r="AH972" s="84"/>
      <c r="AL972" s="84"/>
      <c r="AP972" s="84"/>
      <c r="AT972" s="84"/>
      <c r="AX972" s="84"/>
      <c r="BB972" s="85"/>
      <c r="BC972" s="84"/>
      <c r="BD972" s="84"/>
      <c r="BF972" s="84"/>
      <c r="BL972" s="84"/>
      <c r="BP972" s="86"/>
      <c r="BV972" s="84"/>
      <c r="CA972" s="84"/>
      <c r="CF972" s="84"/>
      <c r="CK972" s="84"/>
      <c r="CP972" s="84"/>
      <c r="CS972" s="86"/>
      <c r="CT972" s="84"/>
      <c r="CW972" s="86"/>
      <c r="CX972" s="84"/>
      <c r="DA972" s="86"/>
      <c r="DB972" s="84"/>
      <c r="DE972" s="86"/>
      <c r="DF972" s="84"/>
      <c r="DI972" s="86"/>
      <c r="DJ972" s="84"/>
      <c r="DM972" s="86"/>
      <c r="DN972" s="84"/>
      <c r="DQ972" s="86"/>
      <c r="DR972" s="85"/>
      <c r="DS972" s="85"/>
      <c r="DT972" s="84"/>
      <c r="DV972" s="84"/>
      <c r="DW972" s="157"/>
      <c r="EB972" s="84"/>
      <c r="EG972" s="84"/>
      <c r="EK972" s="84"/>
      <c r="EO972" s="84"/>
      <c r="ES972" s="84"/>
      <c r="EW972" s="84"/>
    </row>
    <row r="973" customFormat="false" ht="12.75" hidden="false" customHeight="false" outlineLevel="0" collapsed="false">
      <c r="A973" s="37"/>
      <c r="E973" s="83"/>
      <c r="J973" s="84"/>
      <c r="N973" s="84"/>
      <c r="R973" s="84"/>
      <c r="V973" s="84"/>
      <c r="Z973" s="84"/>
      <c r="AD973" s="84"/>
      <c r="AH973" s="84"/>
      <c r="AL973" s="84"/>
      <c r="AP973" s="84"/>
      <c r="AT973" s="84"/>
      <c r="AX973" s="84"/>
      <c r="BB973" s="85"/>
      <c r="BC973" s="84"/>
      <c r="BD973" s="84"/>
      <c r="BF973" s="84"/>
      <c r="BL973" s="84"/>
      <c r="BP973" s="86"/>
      <c r="BV973" s="84"/>
      <c r="CA973" s="84"/>
      <c r="CF973" s="84"/>
      <c r="CK973" s="84"/>
      <c r="CP973" s="84"/>
      <c r="CS973" s="86"/>
      <c r="CT973" s="84"/>
      <c r="CW973" s="86"/>
      <c r="CX973" s="84"/>
      <c r="DA973" s="86"/>
      <c r="DB973" s="84"/>
      <c r="DE973" s="86"/>
      <c r="DF973" s="84"/>
      <c r="DI973" s="86"/>
      <c r="DJ973" s="84"/>
      <c r="DM973" s="86"/>
      <c r="DN973" s="84"/>
      <c r="DQ973" s="86"/>
      <c r="DR973" s="85"/>
      <c r="DS973" s="85"/>
      <c r="DT973" s="84"/>
      <c r="DV973" s="84"/>
      <c r="DW973" s="157"/>
      <c r="EB973" s="84"/>
      <c r="EG973" s="84"/>
      <c r="EK973" s="84"/>
      <c r="EO973" s="84"/>
      <c r="ES973" s="84"/>
      <c r="EW973" s="84"/>
    </row>
    <row r="974" customFormat="false" ht="12.75" hidden="false" customHeight="false" outlineLevel="0" collapsed="false">
      <c r="A974" s="37"/>
      <c r="E974" s="83"/>
      <c r="J974" s="84"/>
      <c r="N974" s="84"/>
      <c r="R974" s="84"/>
      <c r="V974" s="84"/>
      <c r="Z974" s="84"/>
      <c r="AD974" s="84"/>
      <c r="AH974" s="84"/>
      <c r="AL974" s="84"/>
      <c r="AP974" s="84"/>
      <c r="AT974" s="84"/>
      <c r="AX974" s="84"/>
      <c r="BB974" s="85"/>
      <c r="BC974" s="84"/>
      <c r="BD974" s="84"/>
      <c r="BF974" s="84"/>
      <c r="BL974" s="84"/>
      <c r="BP974" s="86"/>
      <c r="BV974" s="84"/>
      <c r="CA974" s="84"/>
      <c r="CF974" s="84"/>
      <c r="CK974" s="84"/>
      <c r="CP974" s="84"/>
      <c r="CS974" s="86"/>
      <c r="CT974" s="84"/>
      <c r="CW974" s="86"/>
      <c r="CX974" s="84"/>
      <c r="DA974" s="86"/>
      <c r="DB974" s="84"/>
      <c r="DE974" s="86"/>
      <c r="DF974" s="84"/>
      <c r="DI974" s="86"/>
      <c r="DJ974" s="84"/>
      <c r="DM974" s="86"/>
      <c r="DN974" s="84"/>
      <c r="DQ974" s="86"/>
      <c r="DR974" s="85"/>
      <c r="DS974" s="85"/>
      <c r="DT974" s="84"/>
      <c r="DV974" s="84"/>
      <c r="DW974" s="157"/>
      <c r="EB974" s="84"/>
      <c r="EG974" s="84"/>
      <c r="EK974" s="84"/>
      <c r="EO974" s="84"/>
      <c r="ES974" s="84"/>
      <c r="EW974" s="84"/>
    </row>
    <row r="975" customFormat="false" ht="12.75" hidden="false" customHeight="false" outlineLevel="0" collapsed="false">
      <c r="A975" s="37"/>
      <c r="E975" s="83"/>
      <c r="J975" s="84"/>
      <c r="N975" s="84"/>
      <c r="R975" s="84"/>
      <c r="V975" s="84"/>
      <c r="Z975" s="84"/>
      <c r="AD975" s="84"/>
      <c r="AH975" s="84"/>
      <c r="AL975" s="84"/>
      <c r="AP975" s="84"/>
      <c r="AT975" s="84"/>
      <c r="AX975" s="84"/>
      <c r="BB975" s="85"/>
      <c r="BC975" s="84"/>
      <c r="BD975" s="84"/>
      <c r="BF975" s="84"/>
      <c r="BL975" s="84"/>
      <c r="BP975" s="86"/>
      <c r="BV975" s="84"/>
      <c r="CA975" s="84"/>
      <c r="CF975" s="84"/>
      <c r="CK975" s="84"/>
      <c r="CP975" s="84"/>
      <c r="CS975" s="86"/>
      <c r="CT975" s="84"/>
      <c r="CW975" s="86"/>
      <c r="CX975" s="84"/>
      <c r="DA975" s="86"/>
      <c r="DB975" s="84"/>
      <c r="DE975" s="86"/>
      <c r="DF975" s="84"/>
      <c r="DI975" s="86"/>
      <c r="DJ975" s="84"/>
      <c r="DM975" s="86"/>
      <c r="DN975" s="84"/>
      <c r="DQ975" s="86"/>
      <c r="DR975" s="85"/>
      <c r="DS975" s="85"/>
      <c r="DT975" s="84"/>
      <c r="DV975" s="84"/>
      <c r="DW975" s="157"/>
      <c r="EB975" s="84"/>
      <c r="EG975" s="84"/>
      <c r="EK975" s="84"/>
      <c r="EO975" s="84"/>
      <c r="ES975" s="84"/>
      <c r="EW975" s="84"/>
    </row>
    <row r="976" customFormat="false" ht="12.75" hidden="false" customHeight="false" outlineLevel="0" collapsed="false">
      <c r="A976" s="37"/>
      <c r="E976" s="83"/>
      <c r="J976" s="84"/>
      <c r="N976" s="84"/>
      <c r="R976" s="84"/>
      <c r="V976" s="84"/>
      <c r="Z976" s="84"/>
      <c r="AD976" s="84"/>
      <c r="AH976" s="84"/>
      <c r="AL976" s="84"/>
      <c r="AP976" s="84"/>
      <c r="AT976" s="84"/>
      <c r="AX976" s="84"/>
      <c r="BB976" s="85"/>
      <c r="BC976" s="84"/>
      <c r="BD976" s="84"/>
      <c r="BF976" s="84"/>
      <c r="BL976" s="84"/>
      <c r="BP976" s="86"/>
      <c r="BV976" s="84"/>
      <c r="CA976" s="84"/>
      <c r="CF976" s="84"/>
      <c r="CK976" s="84"/>
      <c r="CP976" s="84"/>
      <c r="CS976" s="86"/>
      <c r="CT976" s="84"/>
      <c r="CW976" s="86"/>
      <c r="CX976" s="84"/>
      <c r="DA976" s="86"/>
      <c r="DB976" s="84"/>
      <c r="DE976" s="86"/>
      <c r="DF976" s="84"/>
      <c r="DI976" s="86"/>
      <c r="DJ976" s="84"/>
      <c r="DM976" s="86"/>
      <c r="DN976" s="84"/>
      <c r="DQ976" s="86"/>
      <c r="DR976" s="85"/>
      <c r="DS976" s="85"/>
      <c r="DT976" s="84"/>
      <c r="DV976" s="84"/>
      <c r="DW976" s="157"/>
      <c r="EB976" s="84"/>
      <c r="EG976" s="84"/>
      <c r="EK976" s="84"/>
      <c r="EO976" s="84"/>
      <c r="ES976" s="84"/>
      <c r="EW976" s="84"/>
    </row>
    <row r="977" customFormat="false" ht="12.75" hidden="false" customHeight="false" outlineLevel="0" collapsed="false">
      <c r="A977" s="37"/>
      <c r="E977" s="83"/>
      <c r="J977" s="84"/>
      <c r="N977" s="84"/>
      <c r="R977" s="84"/>
      <c r="V977" s="84"/>
      <c r="Z977" s="84"/>
      <c r="AD977" s="84"/>
      <c r="AH977" s="84"/>
      <c r="AL977" s="84"/>
      <c r="AP977" s="84"/>
      <c r="AT977" s="84"/>
      <c r="AX977" s="84"/>
      <c r="BB977" s="85"/>
      <c r="BC977" s="84"/>
      <c r="BD977" s="84"/>
      <c r="BF977" s="84"/>
      <c r="BL977" s="84"/>
      <c r="BP977" s="86"/>
      <c r="BV977" s="84"/>
      <c r="CA977" s="84"/>
      <c r="CF977" s="84"/>
      <c r="CK977" s="84"/>
      <c r="CP977" s="84"/>
      <c r="CS977" s="86"/>
      <c r="CT977" s="84"/>
      <c r="CW977" s="86"/>
      <c r="CX977" s="84"/>
      <c r="DA977" s="86"/>
      <c r="DB977" s="84"/>
      <c r="DE977" s="86"/>
      <c r="DF977" s="84"/>
      <c r="DI977" s="86"/>
      <c r="DJ977" s="84"/>
      <c r="DM977" s="86"/>
      <c r="DN977" s="84"/>
      <c r="DQ977" s="86"/>
      <c r="DR977" s="85"/>
      <c r="DS977" s="85"/>
      <c r="DT977" s="84"/>
      <c r="DV977" s="84"/>
      <c r="DW977" s="157"/>
      <c r="EB977" s="84"/>
      <c r="EG977" s="84"/>
      <c r="EK977" s="84"/>
      <c r="EO977" s="84"/>
      <c r="ES977" s="84"/>
      <c r="EW977" s="84"/>
    </row>
    <row r="978" customFormat="false" ht="12.75" hidden="false" customHeight="false" outlineLevel="0" collapsed="false">
      <c r="A978" s="37"/>
      <c r="E978" s="83"/>
      <c r="J978" s="84"/>
      <c r="N978" s="84"/>
      <c r="R978" s="84"/>
      <c r="V978" s="84"/>
      <c r="Z978" s="84"/>
      <c r="AD978" s="84"/>
      <c r="AH978" s="84"/>
      <c r="AL978" s="84"/>
      <c r="AP978" s="84"/>
      <c r="AT978" s="84"/>
      <c r="AX978" s="84"/>
      <c r="BB978" s="85"/>
      <c r="BC978" s="84"/>
      <c r="BD978" s="84"/>
      <c r="BF978" s="84"/>
      <c r="BL978" s="84"/>
      <c r="BP978" s="86"/>
      <c r="BV978" s="84"/>
      <c r="CA978" s="84"/>
      <c r="CF978" s="84"/>
      <c r="CK978" s="84"/>
      <c r="CP978" s="84"/>
      <c r="CS978" s="86"/>
      <c r="CT978" s="84"/>
      <c r="CW978" s="86"/>
      <c r="CX978" s="84"/>
      <c r="DA978" s="86"/>
      <c r="DB978" s="84"/>
      <c r="DE978" s="86"/>
      <c r="DF978" s="84"/>
      <c r="DI978" s="86"/>
      <c r="DJ978" s="84"/>
      <c r="DM978" s="86"/>
      <c r="DN978" s="84"/>
      <c r="DQ978" s="86"/>
      <c r="DR978" s="85"/>
      <c r="DS978" s="85"/>
      <c r="DT978" s="84"/>
      <c r="DV978" s="84"/>
      <c r="DW978" s="157"/>
      <c r="EB978" s="84"/>
      <c r="EG978" s="84"/>
      <c r="EK978" s="84"/>
      <c r="EO978" s="84"/>
      <c r="ES978" s="84"/>
      <c r="EW978" s="84"/>
    </row>
    <row r="979" customFormat="false" ht="12.75" hidden="false" customHeight="false" outlineLevel="0" collapsed="false">
      <c r="A979" s="37"/>
      <c r="E979" s="83"/>
      <c r="J979" s="84"/>
      <c r="N979" s="84"/>
      <c r="R979" s="84"/>
      <c r="V979" s="84"/>
      <c r="Z979" s="84"/>
      <c r="AD979" s="84"/>
      <c r="AH979" s="84"/>
      <c r="AL979" s="84"/>
      <c r="AP979" s="84"/>
      <c r="AT979" s="84"/>
      <c r="AX979" s="84"/>
      <c r="BB979" s="85"/>
      <c r="BC979" s="84"/>
      <c r="BD979" s="84"/>
      <c r="BF979" s="84"/>
      <c r="BL979" s="84"/>
      <c r="BP979" s="86"/>
      <c r="BV979" s="84"/>
      <c r="CA979" s="84"/>
      <c r="CF979" s="84"/>
      <c r="CK979" s="84"/>
      <c r="CP979" s="84"/>
      <c r="CS979" s="86"/>
      <c r="CT979" s="84"/>
      <c r="CW979" s="86"/>
      <c r="CX979" s="84"/>
      <c r="DA979" s="86"/>
      <c r="DB979" s="84"/>
      <c r="DE979" s="86"/>
      <c r="DF979" s="84"/>
      <c r="DI979" s="86"/>
      <c r="DJ979" s="84"/>
      <c r="DM979" s="86"/>
      <c r="DN979" s="84"/>
      <c r="DQ979" s="86"/>
      <c r="DR979" s="85"/>
      <c r="DS979" s="85"/>
      <c r="DT979" s="84"/>
      <c r="DV979" s="84"/>
      <c r="DW979" s="157"/>
      <c r="EB979" s="84"/>
      <c r="EG979" s="84"/>
      <c r="EK979" s="84"/>
      <c r="EO979" s="84"/>
      <c r="ES979" s="84"/>
      <c r="EW979" s="84"/>
    </row>
    <row r="980" customFormat="false" ht="12.75" hidden="false" customHeight="false" outlineLevel="0" collapsed="false">
      <c r="A980" s="37"/>
      <c r="E980" s="83"/>
      <c r="J980" s="84"/>
      <c r="N980" s="84"/>
      <c r="R980" s="84"/>
      <c r="V980" s="84"/>
      <c r="Z980" s="84"/>
      <c r="AD980" s="84"/>
      <c r="AH980" s="84"/>
      <c r="AL980" s="84"/>
      <c r="AP980" s="84"/>
      <c r="AT980" s="84"/>
      <c r="AX980" s="84"/>
      <c r="BB980" s="85"/>
      <c r="BC980" s="84"/>
      <c r="BD980" s="84"/>
      <c r="BF980" s="84"/>
      <c r="BL980" s="84"/>
      <c r="BP980" s="86"/>
      <c r="BV980" s="84"/>
      <c r="CA980" s="84"/>
      <c r="CF980" s="84"/>
      <c r="CK980" s="84"/>
      <c r="CP980" s="84"/>
      <c r="CS980" s="86"/>
      <c r="CT980" s="84"/>
      <c r="CW980" s="86"/>
      <c r="CX980" s="84"/>
      <c r="DA980" s="86"/>
      <c r="DB980" s="84"/>
      <c r="DE980" s="86"/>
      <c r="DF980" s="84"/>
      <c r="DI980" s="86"/>
      <c r="DJ980" s="84"/>
      <c r="DM980" s="86"/>
      <c r="DN980" s="84"/>
      <c r="DQ980" s="86"/>
      <c r="DR980" s="85"/>
      <c r="DS980" s="85"/>
      <c r="DT980" s="84"/>
      <c r="DV980" s="84"/>
      <c r="DW980" s="157"/>
      <c r="EB980" s="84"/>
      <c r="EG980" s="84"/>
      <c r="EK980" s="84"/>
      <c r="EO980" s="84"/>
      <c r="ES980" s="84"/>
      <c r="EW980" s="84"/>
    </row>
    <row r="981" customFormat="false" ht="12.75" hidden="false" customHeight="false" outlineLevel="0" collapsed="false">
      <c r="A981" s="37"/>
      <c r="E981" s="83"/>
      <c r="J981" s="84"/>
      <c r="N981" s="84"/>
      <c r="R981" s="84"/>
      <c r="V981" s="84"/>
      <c r="Z981" s="84"/>
      <c r="AD981" s="84"/>
      <c r="AH981" s="84"/>
      <c r="AL981" s="84"/>
      <c r="AP981" s="84"/>
      <c r="AT981" s="84"/>
      <c r="AX981" s="84"/>
      <c r="BB981" s="85"/>
      <c r="BC981" s="84"/>
      <c r="BD981" s="84"/>
      <c r="BF981" s="84"/>
      <c r="BL981" s="84"/>
      <c r="BP981" s="86"/>
      <c r="BV981" s="84"/>
      <c r="CA981" s="84"/>
      <c r="CF981" s="84"/>
      <c r="CK981" s="84"/>
      <c r="CP981" s="84"/>
      <c r="CS981" s="86"/>
      <c r="CT981" s="84"/>
      <c r="CW981" s="86"/>
      <c r="CX981" s="84"/>
      <c r="DA981" s="86"/>
      <c r="DB981" s="84"/>
      <c r="DE981" s="86"/>
      <c r="DF981" s="84"/>
      <c r="DI981" s="86"/>
      <c r="DJ981" s="84"/>
      <c r="DM981" s="86"/>
      <c r="DN981" s="84"/>
      <c r="DQ981" s="86"/>
      <c r="DR981" s="85"/>
      <c r="DS981" s="85"/>
      <c r="DT981" s="84"/>
      <c r="DV981" s="84"/>
      <c r="DW981" s="157"/>
      <c r="EB981" s="84"/>
      <c r="EG981" s="84"/>
      <c r="EK981" s="84"/>
      <c r="EO981" s="84"/>
      <c r="ES981" s="84"/>
      <c r="EW981" s="84"/>
    </row>
    <row r="982" customFormat="false" ht="12.75" hidden="false" customHeight="false" outlineLevel="0" collapsed="false">
      <c r="A982" s="37"/>
      <c r="E982" s="83"/>
      <c r="J982" s="84"/>
      <c r="N982" s="84"/>
      <c r="R982" s="84"/>
      <c r="V982" s="84"/>
      <c r="Z982" s="84"/>
      <c r="AD982" s="84"/>
      <c r="AH982" s="84"/>
      <c r="AL982" s="84"/>
      <c r="AP982" s="84"/>
      <c r="AT982" s="84"/>
      <c r="AX982" s="84"/>
      <c r="BB982" s="85"/>
      <c r="BC982" s="84"/>
      <c r="BD982" s="84"/>
      <c r="BF982" s="84"/>
      <c r="BL982" s="84"/>
      <c r="BP982" s="86"/>
      <c r="BV982" s="84"/>
      <c r="CA982" s="84"/>
      <c r="CF982" s="84"/>
      <c r="CK982" s="84"/>
      <c r="CP982" s="84"/>
      <c r="CS982" s="86"/>
      <c r="CT982" s="84"/>
      <c r="CW982" s="86"/>
      <c r="CX982" s="84"/>
      <c r="DA982" s="86"/>
      <c r="DB982" s="84"/>
      <c r="DE982" s="86"/>
      <c r="DF982" s="84"/>
      <c r="DI982" s="86"/>
      <c r="DJ982" s="84"/>
      <c r="DM982" s="86"/>
      <c r="DN982" s="84"/>
      <c r="DQ982" s="86"/>
      <c r="DR982" s="85"/>
      <c r="DS982" s="85"/>
      <c r="DT982" s="84"/>
      <c r="DV982" s="84"/>
      <c r="DW982" s="157"/>
      <c r="EB982" s="84"/>
      <c r="EG982" s="84"/>
      <c r="EK982" s="84"/>
      <c r="EO982" s="84"/>
      <c r="ES982" s="84"/>
      <c r="EW982" s="84"/>
    </row>
    <row r="983" customFormat="false" ht="12.75" hidden="false" customHeight="false" outlineLevel="0" collapsed="false">
      <c r="A983" s="37"/>
      <c r="E983" s="83"/>
      <c r="J983" s="84"/>
      <c r="N983" s="84"/>
      <c r="R983" s="84"/>
      <c r="V983" s="84"/>
      <c r="Z983" s="84"/>
      <c r="AD983" s="84"/>
      <c r="AH983" s="84"/>
      <c r="AL983" s="84"/>
      <c r="AP983" s="84"/>
      <c r="AT983" s="84"/>
      <c r="AX983" s="84"/>
      <c r="BB983" s="85"/>
      <c r="BC983" s="84"/>
      <c r="BD983" s="84"/>
      <c r="BF983" s="84"/>
      <c r="BL983" s="84"/>
      <c r="BP983" s="86"/>
      <c r="BV983" s="84"/>
      <c r="CA983" s="84"/>
      <c r="CF983" s="84"/>
      <c r="CK983" s="84"/>
      <c r="CP983" s="84"/>
      <c r="CS983" s="86"/>
      <c r="CT983" s="84"/>
      <c r="CW983" s="86"/>
      <c r="CX983" s="84"/>
      <c r="DA983" s="86"/>
      <c r="DB983" s="84"/>
      <c r="DE983" s="86"/>
      <c r="DF983" s="84"/>
      <c r="DI983" s="86"/>
      <c r="DJ983" s="84"/>
      <c r="DM983" s="86"/>
      <c r="DN983" s="84"/>
      <c r="DQ983" s="86"/>
      <c r="DR983" s="85"/>
      <c r="DS983" s="85"/>
      <c r="DT983" s="84"/>
      <c r="DV983" s="84"/>
      <c r="DW983" s="157"/>
      <c r="EB983" s="84"/>
      <c r="EG983" s="84"/>
      <c r="EK983" s="84"/>
      <c r="EO983" s="84"/>
      <c r="ES983" s="84"/>
      <c r="EW983" s="84"/>
    </row>
    <row r="984" customFormat="false" ht="12.75" hidden="false" customHeight="false" outlineLevel="0" collapsed="false">
      <c r="A984" s="37"/>
      <c r="E984" s="83"/>
      <c r="J984" s="84"/>
      <c r="N984" s="84"/>
      <c r="R984" s="84"/>
      <c r="V984" s="84"/>
      <c r="Z984" s="84"/>
      <c r="AD984" s="84"/>
      <c r="AH984" s="84"/>
      <c r="AL984" s="84"/>
      <c r="AP984" s="84"/>
      <c r="AT984" s="84"/>
      <c r="AX984" s="84"/>
      <c r="BB984" s="85"/>
      <c r="BC984" s="84"/>
      <c r="BD984" s="84"/>
      <c r="BF984" s="84"/>
      <c r="BL984" s="84"/>
      <c r="BP984" s="86"/>
      <c r="BV984" s="84"/>
      <c r="CA984" s="84"/>
      <c r="CF984" s="84"/>
      <c r="CK984" s="84"/>
      <c r="CP984" s="84"/>
      <c r="CS984" s="86"/>
      <c r="CT984" s="84"/>
      <c r="CW984" s="86"/>
      <c r="CX984" s="84"/>
      <c r="DA984" s="86"/>
      <c r="DB984" s="84"/>
      <c r="DE984" s="86"/>
      <c r="DF984" s="84"/>
      <c r="DI984" s="86"/>
      <c r="DJ984" s="84"/>
      <c r="DM984" s="86"/>
      <c r="DN984" s="84"/>
      <c r="DQ984" s="86"/>
      <c r="DR984" s="85"/>
      <c r="DS984" s="85"/>
      <c r="DT984" s="84"/>
      <c r="DV984" s="84"/>
      <c r="DW984" s="157"/>
      <c r="EB984" s="84"/>
      <c r="EG984" s="84"/>
      <c r="EK984" s="84"/>
      <c r="EO984" s="84"/>
      <c r="ES984" s="84"/>
      <c r="EW984" s="84"/>
    </row>
    <row r="985" customFormat="false" ht="12.75" hidden="false" customHeight="false" outlineLevel="0" collapsed="false">
      <c r="A985" s="37"/>
      <c r="E985" s="83"/>
      <c r="J985" s="84"/>
      <c r="N985" s="84"/>
      <c r="R985" s="84"/>
      <c r="V985" s="84"/>
      <c r="Z985" s="84"/>
      <c r="AD985" s="84"/>
      <c r="AH985" s="84"/>
      <c r="AL985" s="84"/>
      <c r="AP985" s="84"/>
      <c r="AT985" s="84"/>
      <c r="AX985" s="84"/>
      <c r="BB985" s="85"/>
      <c r="BC985" s="84"/>
      <c r="BD985" s="84"/>
      <c r="BF985" s="84"/>
      <c r="BL985" s="84"/>
      <c r="BP985" s="86"/>
      <c r="BV985" s="84"/>
      <c r="CA985" s="84"/>
      <c r="CF985" s="84"/>
      <c r="CK985" s="84"/>
      <c r="CP985" s="84"/>
      <c r="CS985" s="86"/>
      <c r="CT985" s="84"/>
      <c r="CW985" s="86"/>
      <c r="CX985" s="84"/>
      <c r="DA985" s="86"/>
      <c r="DB985" s="84"/>
      <c r="DE985" s="86"/>
      <c r="DF985" s="84"/>
      <c r="DI985" s="86"/>
      <c r="DJ985" s="84"/>
      <c r="DM985" s="86"/>
      <c r="DN985" s="84"/>
      <c r="DQ985" s="86"/>
      <c r="DR985" s="85"/>
      <c r="DS985" s="85"/>
      <c r="DT985" s="84"/>
      <c r="DV985" s="84"/>
      <c r="DW985" s="157"/>
      <c r="EB985" s="84"/>
      <c r="EG985" s="84"/>
      <c r="EK985" s="84"/>
      <c r="EO985" s="84"/>
      <c r="ES985" s="84"/>
      <c r="EW985" s="84"/>
    </row>
    <row r="986" customFormat="false" ht="12.75" hidden="false" customHeight="false" outlineLevel="0" collapsed="false">
      <c r="A986" s="37"/>
      <c r="E986" s="83"/>
      <c r="J986" s="84"/>
      <c r="N986" s="84"/>
      <c r="R986" s="84"/>
      <c r="V986" s="84"/>
      <c r="Z986" s="84"/>
      <c r="AD986" s="84"/>
      <c r="AH986" s="84"/>
      <c r="AL986" s="84"/>
      <c r="AP986" s="84"/>
      <c r="AT986" s="84"/>
      <c r="AX986" s="84"/>
      <c r="BB986" s="85"/>
      <c r="BC986" s="84"/>
      <c r="BD986" s="84"/>
      <c r="BF986" s="84"/>
      <c r="BL986" s="84"/>
      <c r="BP986" s="86"/>
      <c r="BV986" s="84"/>
      <c r="CA986" s="84"/>
      <c r="CF986" s="84"/>
      <c r="CK986" s="84"/>
      <c r="CP986" s="84"/>
      <c r="CS986" s="86"/>
      <c r="CT986" s="84"/>
      <c r="CW986" s="86"/>
      <c r="CX986" s="84"/>
      <c r="DA986" s="86"/>
      <c r="DB986" s="84"/>
      <c r="DE986" s="86"/>
      <c r="DF986" s="84"/>
      <c r="DI986" s="86"/>
      <c r="DJ986" s="84"/>
      <c r="DM986" s="86"/>
      <c r="DN986" s="84"/>
      <c r="DQ986" s="86"/>
      <c r="DR986" s="85"/>
      <c r="DS986" s="85"/>
      <c r="DT986" s="84"/>
      <c r="DV986" s="84"/>
      <c r="DW986" s="157"/>
      <c r="EB986" s="84"/>
      <c r="EG986" s="84"/>
      <c r="EK986" s="84"/>
      <c r="EO986" s="84"/>
      <c r="ES986" s="84"/>
      <c r="EW986" s="84"/>
    </row>
    <row r="987" customFormat="false" ht="12.75" hidden="false" customHeight="false" outlineLevel="0" collapsed="false">
      <c r="A987" s="37"/>
      <c r="E987" s="83"/>
      <c r="J987" s="84"/>
      <c r="N987" s="84"/>
      <c r="R987" s="84"/>
      <c r="V987" s="84"/>
      <c r="Z987" s="84"/>
      <c r="AD987" s="84"/>
      <c r="AH987" s="84"/>
      <c r="AL987" s="84"/>
      <c r="AP987" s="84"/>
      <c r="AT987" s="84"/>
      <c r="AX987" s="84"/>
      <c r="BB987" s="85"/>
      <c r="BC987" s="84"/>
      <c r="BD987" s="84"/>
      <c r="BF987" s="84"/>
      <c r="BL987" s="84"/>
      <c r="BP987" s="86"/>
      <c r="BV987" s="84"/>
      <c r="CA987" s="84"/>
      <c r="CF987" s="84"/>
      <c r="CK987" s="84"/>
      <c r="CP987" s="84"/>
      <c r="CS987" s="86"/>
      <c r="CT987" s="84"/>
      <c r="CW987" s="86"/>
      <c r="CX987" s="84"/>
      <c r="DA987" s="86"/>
      <c r="DB987" s="84"/>
      <c r="DE987" s="86"/>
      <c r="DF987" s="84"/>
      <c r="DI987" s="86"/>
      <c r="DJ987" s="84"/>
      <c r="DM987" s="86"/>
      <c r="DN987" s="84"/>
      <c r="DQ987" s="86"/>
      <c r="DR987" s="85"/>
      <c r="DS987" s="85"/>
      <c r="DT987" s="84"/>
      <c r="DV987" s="84"/>
      <c r="DW987" s="157"/>
      <c r="EB987" s="84"/>
      <c r="EG987" s="84"/>
      <c r="EK987" s="84"/>
      <c r="EO987" s="84"/>
      <c r="ES987" s="84"/>
      <c r="EW987" s="84"/>
    </row>
    <row r="988" customFormat="false" ht="12.75" hidden="false" customHeight="false" outlineLevel="0" collapsed="false">
      <c r="A988" s="37"/>
      <c r="E988" s="83"/>
      <c r="J988" s="84"/>
      <c r="N988" s="84"/>
      <c r="R988" s="84"/>
      <c r="V988" s="84"/>
      <c r="Z988" s="84"/>
      <c r="AD988" s="84"/>
      <c r="AH988" s="84"/>
      <c r="AL988" s="84"/>
      <c r="AP988" s="84"/>
      <c r="AT988" s="84"/>
      <c r="AX988" s="84"/>
      <c r="BB988" s="85"/>
      <c r="BC988" s="84"/>
      <c r="BD988" s="84"/>
      <c r="BF988" s="84"/>
      <c r="BL988" s="84"/>
      <c r="BP988" s="86"/>
      <c r="BV988" s="84"/>
      <c r="CA988" s="84"/>
      <c r="CF988" s="84"/>
      <c r="CK988" s="84"/>
      <c r="CP988" s="84"/>
      <c r="CS988" s="86"/>
      <c r="CT988" s="84"/>
      <c r="CW988" s="86"/>
      <c r="CX988" s="84"/>
      <c r="DA988" s="86"/>
      <c r="DB988" s="84"/>
      <c r="DE988" s="86"/>
      <c r="DF988" s="84"/>
      <c r="DI988" s="86"/>
      <c r="DJ988" s="84"/>
      <c r="DM988" s="86"/>
      <c r="DN988" s="84"/>
      <c r="DQ988" s="86"/>
      <c r="DR988" s="85"/>
      <c r="DS988" s="85"/>
      <c r="DT988" s="84"/>
      <c r="DV988" s="84"/>
      <c r="DW988" s="157"/>
      <c r="EB988" s="84"/>
      <c r="EG988" s="84"/>
      <c r="EK988" s="84"/>
      <c r="EO988" s="84"/>
      <c r="ES988" s="84"/>
      <c r="EW988" s="84"/>
    </row>
    <row r="989" customFormat="false" ht="12.75" hidden="false" customHeight="false" outlineLevel="0" collapsed="false">
      <c r="A989" s="37"/>
      <c r="E989" s="83"/>
      <c r="J989" s="84"/>
      <c r="N989" s="84"/>
      <c r="R989" s="84"/>
      <c r="V989" s="84"/>
      <c r="Z989" s="84"/>
      <c r="AD989" s="84"/>
      <c r="AH989" s="84"/>
      <c r="AL989" s="84"/>
      <c r="AP989" s="84"/>
      <c r="AT989" s="84"/>
      <c r="AX989" s="84"/>
      <c r="BB989" s="85"/>
      <c r="BC989" s="84"/>
      <c r="BD989" s="84"/>
      <c r="BF989" s="84"/>
      <c r="BL989" s="84"/>
      <c r="BP989" s="86"/>
      <c r="BV989" s="84"/>
      <c r="CA989" s="84"/>
      <c r="CF989" s="84"/>
      <c r="CK989" s="84"/>
      <c r="CP989" s="84"/>
      <c r="CS989" s="86"/>
      <c r="CT989" s="84"/>
      <c r="CW989" s="86"/>
      <c r="CX989" s="84"/>
      <c r="DA989" s="86"/>
      <c r="DB989" s="84"/>
      <c r="DE989" s="86"/>
      <c r="DF989" s="84"/>
      <c r="DI989" s="86"/>
      <c r="DJ989" s="84"/>
      <c r="DM989" s="86"/>
      <c r="DN989" s="84"/>
      <c r="DQ989" s="86"/>
      <c r="DR989" s="85"/>
      <c r="DS989" s="85"/>
      <c r="DT989" s="84"/>
      <c r="DV989" s="84"/>
      <c r="DW989" s="157"/>
      <c r="EB989" s="84"/>
      <c r="EG989" s="84"/>
      <c r="EK989" s="84"/>
      <c r="EO989" s="84"/>
      <c r="ES989" s="84"/>
      <c r="EW989" s="84"/>
    </row>
    <row r="990" customFormat="false" ht="12.75" hidden="false" customHeight="false" outlineLevel="0" collapsed="false">
      <c r="A990" s="37"/>
      <c r="E990" s="83"/>
      <c r="J990" s="84"/>
      <c r="N990" s="84"/>
      <c r="R990" s="84"/>
      <c r="V990" s="84"/>
      <c r="Z990" s="84"/>
      <c r="AD990" s="84"/>
      <c r="AH990" s="84"/>
      <c r="AL990" s="84"/>
      <c r="AP990" s="84"/>
      <c r="AT990" s="84"/>
      <c r="AX990" s="84"/>
      <c r="BB990" s="85"/>
      <c r="BC990" s="84"/>
      <c r="BD990" s="84"/>
      <c r="BF990" s="84"/>
      <c r="BL990" s="84"/>
      <c r="BP990" s="86"/>
      <c r="BV990" s="84"/>
      <c r="CA990" s="84"/>
      <c r="CF990" s="84"/>
      <c r="CK990" s="84"/>
      <c r="CP990" s="84"/>
      <c r="CS990" s="86"/>
      <c r="CT990" s="84"/>
      <c r="CW990" s="86"/>
      <c r="CX990" s="84"/>
      <c r="DA990" s="86"/>
      <c r="DB990" s="84"/>
      <c r="DE990" s="86"/>
      <c r="DF990" s="84"/>
      <c r="DI990" s="86"/>
      <c r="DJ990" s="84"/>
      <c r="DM990" s="86"/>
      <c r="DN990" s="84"/>
      <c r="DQ990" s="86"/>
      <c r="DR990" s="85"/>
      <c r="DS990" s="85"/>
      <c r="DT990" s="84"/>
      <c r="DV990" s="84"/>
      <c r="DW990" s="157"/>
      <c r="EB990" s="84"/>
      <c r="EG990" s="84"/>
      <c r="EK990" s="84"/>
      <c r="EO990" s="84"/>
      <c r="ES990" s="84"/>
      <c r="EW990" s="84"/>
    </row>
    <row r="991" customFormat="false" ht="12.75" hidden="false" customHeight="false" outlineLevel="0" collapsed="false">
      <c r="A991" s="37"/>
      <c r="E991" s="83"/>
      <c r="J991" s="84"/>
      <c r="N991" s="84"/>
      <c r="R991" s="84"/>
      <c r="V991" s="84"/>
      <c r="Z991" s="84"/>
      <c r="AD991" s="84"/>
      <c r="AH991" s="84"/>
      <c r="AL991" s="84"/>
      <c r="AP991" s="84"/>
      <c r="AT991" s="84"/>
      <c r="AX991" s="84"/>
      <c r="BB991" s="85"/>
      <c r="BC991" s="84"/>
      <c r="BD991" s="84"/>
      <c r="BF991" s="84"/>
      <c r="BL991" s="84"/>
      <c r="BP991" s="86"/>
      <c r="BV991" s="84"/>
      <c r="CA991" s="84"/>
      <c r="CF991" s="84"/>
      <c r="CK991" s="84"/>
      <c r="CP991" s="84"/>
      <c r="CS991" s="86"/>
      <c r="CT991" s="84"/>
      <c r="CW991" s="86"/>
      <c r="CX991" s="84"/>
      <c r="DA991" s="86"/>
      <c r="DB991" s="84"/>
      <c r="DE991" s="86"/>
      <c r="DF991" s="84"/>
      <c r="DI991" s="86"/>
      <c r="DJ991" s="84"/>
      <c r="DM991" s="86"/>
      <c r="DN991" s="84"/>
      <c r="DQ991" s="86"/>
      <c r="DR991" s="85"/>
      <c r="DS991" s="85"/>
      <c r="DT991" s="84"/>
      <c r="DV991" s="84"/>
      <c r="DW991" s="157"/>
      <c r="EB991" s="84"/>
      <c r="EG991" s="84"/>
      <c r="EK991" s="84"/>
      <c r="EO991" s="84"/>
      <c r="ES991" s="84"/>
      <c r="EW991" s="84"/>
    </row>
    <row r="992" customFormat="false" ht="12.75" hidden="false" customHeight="false" outlineLevel="0" collapsed="false">
      <c r="A992" s="37"/>
      <c r="E992" s="83"/>
      <c r="J992" s="84"/>
      <c r="N992" s="84"/>
      <c r="R992" s="84"/>
      <c r="V992" s="84"/>
      <c r="Z992" s="84"/>
      <c r="AD992" s="84"/>
      <c r="AH992" s="84"/>
      <c r="AL992" s="84"/>
      <c r="AP992" s="84"/>
      <c r="AT992" s="84"/>
      <c r="AX992" s="84"/>
      <c r="BB992" s="85"/>
      <c r="BC992" s="84"/>
      <c r="BD992" s="84"/>
      <c r="BF992" s="84"/>
      <c r="BL992" s="84"/>
      <c r="BP992" s="86"/>
      <c r="BV992" s="84"/>
      <c r="CA992" s="84"/>
      <c r="CF992" s="84"/>
      <c r="CK992" s="84"/>
      <c r="CP992" s="84"/>
      <c r="CS992" s="86"/>
      <c r="CT992" s="84"/>
      <c r="CW992" s="86"/>
      <c r="CX992" s="84"/>
      <c r="DA992" s="86"/>
      <c r="DB992" s="84"/>
      <c r="DE992" s="86"/>
      <c r="DF992" s="84"/>
      <c r="DI992" s="86"/>
      <c r="DJ992" s="84"/>
      <c r="DM992" s="86"/>
      <c r="DN992" s="84"/>
      <c r="DQ992" s="86"/>
      <c r="DR992" s="85"/>
      <c r="DS992" s="85"/>
      <c r="DT992" s="84"/>
      <c r="DV992" s="84"/>
      <c r="DW992" s="157"/>
      <c r="EB992" s="84"/>
      <c r="EG992" s="84"/>
      <c r="EK992" s="84"/>
      <c r="EO992" s="84"/>
      <c r="ES992" s="84"/>
      <c r="EW992" s="84"/>
    </row>
    <row r="993" customFormat="false" ht="12.75" hidden="false" customHeight="false" outlineLevel="0" collapsed="false">
      <c r="A993" s="37"/>
      <c r="E993" s="83"/>
      <c r="J993" s="84"/>
      <c r="N993" s="84"/>
      <c r="R993" s="84"/>
      <c r="V993" s="84"/>
      <c r="Z993" s="84"/>
      <c r="AD993" s="84"/>
      <c r="AH993" s="84"/>
      <c r="AL993" s="84"/>
      <c r="AP993" s="84"/>
      <c r="AT993" s="84"/>
      <c r="AX993" s="84"/>
      <c r="BB993" s="85"/>
      <c r="BC993" s="84"/>
      <c r="BD993" s="84"/>
      <c r="BF993" s="84"/>
      <c r="BL993" s="84"/>
      <c r="BP993" s="86"/>
      <c r="BV993" s="84"/>
      <c r="CA993" s="84"/>
      <c r="CF993" s="84"/>
      <c r="CK993" s="84"/>
      <c r="CP993" s="84"/>
      <c r="CS993" s="86"/>
      <c r="CT993" s="84"/>
      <c r="CW993" s="86"/>
      <c r="CX993" s="84"/>
      <c r="DA993" s="86"/>
      <c r="DB993" s="84"/>
      <c r="DE993" s="86"/>
      <c r="DF993" s="84"/>
      <c r="DI993" s="86"/>
      <c r="DJ993" s="84"/>
      <c r="DM993" s="86"/>
      <c r="DN993" s="84"/>
      <c r="DQ993" s="86"/>
      <c r="DR993" s="85"/>
      <c r="DS993" s="85"/>
      <c r="DT993" s="84"/>
      <c r="DV993" s="84"/>
      <c r="DW993" s="157"/>
      <c r="EB993" s="84"/>
      <c r="EG993" s="84"/>
      <c r="EK993" s="84"/>
      <c r="EO993" s="84"/>
      <c r="ES993" s="84"/>
      <c r="EW993" s="84"/>
    </row>
    <row r="994" customFormat="false" ht="12.75" hidden="false" customHeight="false" outlineLevel="0" collapsed="false">
      <c r="A994" s="37"/>
      <c r="E994" s="83"/>
      <c r="J994" s="84"/>
      <c r="N994" s="84"/>
      <c r="R994" s="84"/>
      <c r="V994" s="84"/>
      <c r="Z994" s="84"/>
      <c r="AD994" s="84"/>
      <c r="AH994" s="84"/>
      <c r="AL994" s="84"/>
      <c r="AP994" s="84"/>
      <c r="AT994" s="84"/>
      <c r="AX994" s="84"/>
      <c r="BB994" s="85"/>
      <c r="BC994" s="84"/>
      <c r="BD994" s="84"/>
      <c r="BF994" s="84"/>
      <c r="BL994" s="84"/>
      <c r="BP994" s="86"/>
      <c r="BV994" s="84"/>
      <c r="CA994" s="84"/>
      <c r="CF994" s="84"/>
      <c r="CK994" s="84"/>
      <c r="CP994" s="84"/>
      <c r="CS994" s="86"/>
      <c r="CT994" s="84"/>
      <c r="CW994" s="86"/>
      <c r="CX994" s="84"/>
      <c r="DA994" s="86"/>
      <c r="DB994" s="84"/>
      <c r="DE994" s="86"/>
      <c r="DF994" s="84"/>
      <c r="DI994" s="86"/>
      <c r="DJ994" s="84"/>
      <c r="DM994" s="86"/>
      <c r="DN994" s="84"/>
      <c r="DQ994" s="86"/>
      <c r="DR994" s="85"/>
      <c r="DS994" s="85"/>
      <c r="DT994" s="84"/>
      <c r="DV994" s="84"/>
      <c r="DW994" s="157"/>
      <c r="EB994" s="84"/>
      <c r="EG994" s="84"/>
      <c r="EK994" s="84"/>
      <c r="EO994" s="84"/>
      <c r="ES994" s="84"/>
      <c r="EW994" s="84"/>
    </row>
    <row r="995" customFormat="false" ht="12.75" hidden="false" customHeight="false" outlineLevel="0" collapsed="false">
      <c r="A995" s="37"/>
      <c r="E995" s="83"/>
      <c r="J995" s="84"/>
      <c r="N995" s="84"/>
      <c r="R995" s="84"/>
      <c r="V995" s="84"/>
      <c r="Z995" s="84"/>
      <c r="AD995" s="84"/>
      <c r="AH995" s="84"/>
      <c r="AL995" s="84"/>
      <c r="AP995" s="84"/>
      <c r="AT995" s="84"/>
      <c r="AX995" s="84"/>
      <c r="BB995" s="85"/>
      <c r="BC995" s="84"/>
      <c r="BD995" s="84"/>
      <c r="BF995" s="84"/>
      <c r="BL995" s="84"/>
      <c r="BP995" s="86"/>
      <c r="BV995" s="84"/>
      <c r="CA995" s="84"/>
      <c r="CF995" s="84"/>
      <c r="CK995" s="84"/>
      <c r="CP995" s="84"/>
      <c r="CS995" s="86"/>
      <c r="CT995" s="84"/>
      <c r="CW995" s="86"/>
      <c r="CX995" s="84"/>
      <c r="DA995" s="86"/>
      <c r="DB995" s="84"/>
      <c r="DE995" s="86"/>
      <c r="DF995" s="84"/>
      <c r="DI995" s="86"/>
      <c r="DJ995" s="84"/>
      <c r="DM995" s="86"/>
      <c r="DN995" s="84"/>
      <c r="DQ995" s="86"/>
      <c r="DR995" s="85"/>
      <c r="DS995" s="85"/>
      <c r="DT995" s="84"/>
      <c r="DV995" s="84"/>
      <c r="DW995" s="157"/>
      <c r="EB995" s="84"/>
      <c r="EG995" s="84"/>
      <c r="EK995" s="84"/>
      <c r="EO995" s="84"/>
      <c r="ES995" s="84"/>
      <c r="EW995" s="84"/>
    </row>
    <row r="996" customFormat="false" ht="12.75" hidden="false" customHeight="false" outlineLevel="0" collapsed="false">
      <c r="A996" s="37"/>
      <c r="E996" s="83"/>
      <c r="J996" s="84"/>
      <c r="N996" s="84"/>
      <c r="R996" s="84"/>
      <c r="V996" s="84"/>
      <c r="Z996" s="84"/>
      <c r="AD996" s="84"/>
      <c r="AH996" s="84"/>
      <c r="AL996" s="84"/>
      <c r="AP996" s="84"/>
      <c r="AT996" s="84"/>
      <c r="AX996" s="84"/>
      <c r="BB996" s="85"/>
      <c r="BC996" s="84"/>
      <c r="BD996" s="84"/>
      <c r="BF996" s="84"/>
      <c r="BL996" s="84"/>
      <c r="BP996" s="86"/>
      <c r="BV996" s="84"/>
      <c r="CA996" s="84"/>
      <c r="CF996" s="84"/>
      <c r="CK996" s="84"/>
      <c r="CP996" s="84"/>
      <c r="CS996" s="86"/>
      <c r="CT996" s="84"/>
      <c r="CW996" s="86"/>
      <c r="CX996" s="84"/>
      <c r="DA996" s="86"/>
      <c r="DB996" s="84"/>
      <c r="DE996" s="86"/>
      <c r="DF996" s="84"/>
      <c r="DI996" s="86"/>
      <c r="DJ996" s="84"/>
      <c r="DM996" s="86"/>
      <c r="DN996" s="84"/>
      <c r="DQ996" s="86"/>
      <c r="DR996" s="85"/>
      <c r="DS996" s="85"/>
      <c r="DT996" s="84"/>
      <c r="DV996" s="84"/>
      <c r="DW996" s="157"/>
      <c r="EB996" s="84"/>
      <c r="EG996" s="84"/>
      <c r="EK996" s="84"/>
      <c r="EO996" s="84"/>
      <c r="ES996" s="84"/>
      <c r="EW996" s="84"/>
    </row>
    <row r="997" customFormat="false" ht="12.75" hidden="false" customHeight="false" outlineLevel="0" collapsed="false">
      <c r="A997" s="37"/>
      <c r="E997" s="83"/>
      <c r="J997" s="84"/>
      <c r="N997" s="84"/>
      <c r="R997" s="84"/>
      <c r="V997" s="84"/>
      <c r="Z997" s="84"/>
      <c r="AD997" s="84"/>
      <c r="AH997" s="84"/>
      <c r="AL997" s="84"/>
      <c r="AP997" s="84"/>
      <c r="AT997" s="84"/>
      <c r="AX997" s="84"/>
      <c r="BB997" s="85"/>
      <c r="BC997" s="84"/>
      <c r="BD997" s="84"/>
      <c r="BF997" s="84"/>
      <c r="BL997" s="84"/>
      <c r="BP997" s="86"/>
      <c r="BV997" s="84"/>
      <c r="CA997" s="84"/>
      <c r="CF997" s="84"/>
      <c r="CK997" s="84"/>
      <c r="CP997" s="84"/>
      <c r="CS997" s="86"/>
      <c r="CT997" s="84"/>
      <c r="CW997" s="86"/>
      <c r="CX997" s="84"/>
      <c r="DA997" s="86"/>
      <c r="DB997" s="84"/>
      <c r="DE997" s="86"/>
      <c r="DF997" s="84"/>
      <c r="DI997" s="86"/>
      <c r="DJ997" s="84"/>
      <c r="DM997" s="86"/>
      <c r="DN997" s="84"/>
      <c r="DQ997" s="86"/>
      <c r="DR997" s="85"/>
      <c r="DS997" s="85"/>
      <c r="DT997" s="84"/>
      <c r="DV997" s="84"/>
      <c r="DW997" s="157"/>
      <c r="EB997" s="84"/>
      <c r="EG997" s="84"/>
      <c r="EK997" s="84"/>
      <c r="EO997" s="84"/>
      <c r="ES997" s="84"/>
      <c r="EW997" s="84"/>
    </row>
    <row r="998" customFormat="false" ht="12.75" hidden="false" customHeight="false" outlineLevel="0" collapsed="false">
      <c r="A998" s="37"/>
      <c r="E998" s="83"/>
      <c r="J998" s="84"/>
      <c r="N998" s="84"/>
      <c r="R998" s="84"/>
      <c r="V998" s="84"/>
      <c r="Z998" s="84"/>
      <c r="AD998" s="84"/>
      <c r="AH998" s="84"/>
      <c r="AL998" s="84"/>
      <c r="AP998" s="84"/>
      <c r="AT998" s="84"/>
      <c r="AX998" s="84"/>
      <c r="BB998" s="85"/>
      <c r="BC998" s="84"/>
      <c r="BD998" s="84"/>
      <c r="BF998" s="84"/>
      <c r="BL998" s="84"/>
      <c r="BP998" s="86"/>
      <c r="BV998" s="84"/>
      <c r="CA998" s="84"/>
      <c r="CF998" s="84"/>
      <c r="CK998" s="84"/>
      <c r="CP998" s="84"/>
      <c r="CS998" s="86"/>
      <c r="CT998" s="84"/>
      <c r="CW998" s="86"/>
      <c r="CX998" s="84"/>
      <c r="DA998" s="86"/>
      <c r="DB998" s="84"/>
      <c r="DE998" s="86"/>
      <c r="DF998" s="84"/>
      <c r="DI998" s="86"/>
      <c r="DJ998" s="84"/>
      <c r="DM998" s="86"/>
      <c r="DN998" s="84"/>
      <c r="DQ998" s="86"/>
      <c r="DR998" s="85"/>
      <c r="DS998" s="85"/>
      <c r="DT998" s="84"/>
      <c r="DV998" s="84"/>
      <c r="DW998" s="157"/>
      <c r="EB998" s="84"/>
      <c r="EG998" s="84"/>
      <c r="EK998" s="84"/>
      <c r="EO998" s="84"/>
      <c r="ES998" s="84"/>
      <c r="EW998" s="84"/>
    </row>
    <row r="999" customFormat="false" ht="12.75" hidden="false" customHeight="false" outlineLevel="0" collapsed="false">
      <c r="A999" s="37"/>
      <c r="E999" s="83"/>
      <c r="J999" s="84"/>
      <c r="N999" s="84"/>
      <c r="R999" s="84"/>
      <c r="V999" s="84"/>
      <c r="Z999" s="84"/>
      <c r="AD999" s="84"/>
      <c r="AH999" s="84"/>
      <c r="AL999" s="84"/>
      <c r="AP999" s="84"/>
      <c r="AT999" s="84"/>
      <c r="AX999" s="84"/>
      <c r="BB999" s="85"/>
      <c r="BC999" s="84"/>
      <c r="BD999" s="84"/>
      <c r="BF999" s="84"/>
      <c r="BL999" s="84"/>
      <c r="BP999" s="86"/>
      <c r="BV999" s="84"/>
      <c r="CA999" s="84"/>
      <c r="CF999" s="84"/>
      <c r="CK999" s="84"/>
      <c r="CP999" s="84"/>
      <c r="CS999" s="86"/>
      <c r="CT999" s="84"/>
      <c r="CW999" s="86"/>
      <c r="CX999" s="84"/>
      <c r="DA999" s="86"/>
      <c r="DB999" s="84"/>
      <c r="DE999" s="86"/>
      <c r="DF999" s="84"/>
      <c r="DI999" s="86"/>
      <c r="DJ999" s="84"/>
      <c r="DM999" s="86"/>
      <c r="DN999" s="84"/>
      <c r="DQ999" s="86"/>
      <c r="DR999" s="85"/>
      <c r="DS999" s="85"/>
      <c r="DT999" s="84"/>
      <c r="DV999" s="84"/>
      <c r="DW999" s="157"/>
      <c r="EB999" s="84"/>
      <c r="EG999" s="84"/>
      <c r="EK999" s="84"/>
      <c r="EO999" s="84"/>
      <c r="ES999" s="84"/>
      <c r="EW999" s="84"/>
    </row>
    <row r="1000" customFormat="false" ht="12.75" hidden="false" customHeight="false" outlineLevel="0" collapsed="false">
      <c r="A1000" s="37"/>
      <c r="E1000" s="83"/>
      <c r="J1000" s="84"/>
      <c r="N1000" s="84"/>
      <c r="R1000" s="84"/>
      <c r="V1000" s="84"/>
      <c r="Z1000" s="84"/>
      <c r="AD1000" s="84"/>
      <c r="AH1000" s="84"/>
      <c r="AL1000" s="84"/>
      <c r="AP1000" s="84"/>
      <c r="AT1000" s="84"/>
      <c r="AX1000" s="84"/>
      <c r="BB1000" s="85"/>
      <c r="BC1000" s="84"/>
      <c r="BD1000" s="84"/>
      <c r="BF1000" s="84"/>
      <c r="BL1000" s="84"/>
      <c r="BP1000" s="86"/>
      <c r="BV1000" s="84"/>
      <c r="CA1000" s="84"/>
      <c r="CF1000" s="84"/>
      <c r="CK1000" s="84"/>
      <c r="CP1000" s="84"/>
      <c r="CS1000" s="86"/>
      <c r="CT1000" s="84"/>
      <c r="CW1000" s="86"/>
      <c r="CX1000" s="84"/>
      <c r="DA1000" s="86"/>
      <c r="DB1000" s="84"/>
      <c r="DE1000" s="86"/>
      <c r="DF1000" s="84"/>
      <c r="DI1000" s="86"/>
      <c r="DJ1000" s="84"/>
      <c r="DM1000" s="86"/>
      <c r="DN1000" s="84"/>
      <c r="DQ1000" s="86"/>
      <c r="DR1000" s="85"/>
      <c r="DS1000" s="85"/>
      <c r="DT1000" s="84"/>
      <c r="DV1000" s="84"/>
      <c r="DW1000" s="157"/>
      <c r="EB1000" s="84"/>
      <c r="EG1000" s="84"/>
      <c r="EK1000" s="84"/>
      <c r="EO1000" s="84"/>
      <c r="ES1000" s="84"/>
      <c r="EW1000" s="84"/>
    </row>
  </sheetData>
  <mergeCells count="38">
    <mergeCell ref="EB1:EF1"/>
    <mergeCell ref="EG1:EZ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D2:BE2"/>
    <mergeCell ref="BF2:BK2"/>
    <mergeCell ref="BL2:BP2"/>
    <mergeCell ref="BQ2:BU2"/>
    <mergeCell ref="BV2:BZ2"/>
    <mergeCell ref="CA2:CE2"/>
    <mergeCell ref="CF2:CJ2"/>
    <mergeCell ref="CK2:CO2"/>
    <mergeCell ref="CP2:CS2"/>
    <mergeCell ref="CT2:CW2"/>
    <mergeCell ref="CX2:DA2"/>
    <mergeCell ref="DB2:DE2"/>
    <mergeCell ref="DF2:DI2"/>
    <mergeCell ref="DJ2:DM2"/>
    <mergeCell ref="DN2:DQ2"/>
    <mergeCell ref="DT2:DU2"/>
    <mergeCell ref="DV2:EA2"/>
    <mergeCell ref="EB2:EF2"/>
    <mergeCell ref="EG2:EJ2"/>
    <mergeCell ref="EK2:EN2"/>
    <mergeCell ref="EO2:ER2"/>
    <mergeCell ref="ES2:EV2"/>
    <mergeCell ref="EW2:EZ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3.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8" min="17" style="0" width="14.57"/>
    <col collapsed="false" customWidth="true" hidden="false" outlineLevel="0" max="19" min="19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6" min="22" style="0" width="14.69"/>
    <col collapsed="false" customWidth="true" hidden="false" outlineLevel="0" max="27" min="27" style="0" width="15.71"/>
    <col collapsed="false" customWidth="true" hidden="false" outlineLevel="0" max="28" min="28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5.29"/>
    <col collapsed="false" customWidth="true" hidden="false" outlineLevel="0" max="36" min="34" style="0" width="14.69"/>
    <col collapsed="false" customWidth="true" hidden="false" outlineLevel="0" max="37" min="37" style="0" width="14.57"/>
    <col collapsed="false" customWidth="true" hidden="false" outlineLevel="0" max="61" min="38" style="0" width="14.69"/>
    <col collapsed="false" customWidth="true" hidden="false" outlineLevel="0" max="64" min="62" style="0" width="24.41"/>
    <col collapsed="false" customWidth="true" hidden="false" outlineLevel="0" max="67" min="65" style="0" width="23.71"/>
    <col collapsed="false" customWidth="true" hidden="false" outlineLevel="0" max="70" min="68" style="0" width="24.4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174</v>
      </c>
      <c r="AG1" s="166" t="s">
        <v>175</v>
      </c>
      <c r="AH1" s="166" t="s">
        <v>176</v>
      </c>
      <c r="AI1" s="166" t="s">
        <v>177</v>
      </c>
      <c r="AJ1" s="166" t="s">
        <v>178</v>
      </c>
      <c r="AK1" s="166" t="s">
        <v>179</v>
      </c>
      <c r="AL1" s="166" t="s">
        <v>180</v>
      </c>
      <c r="AM1" s="166" t="s">
        <v>181</v>
      </c>
      <c r="AN1" s="166" t="s">
        <v>182</v>
      </c>
      <c r="AO1" s="166" t="s">
        <v>183</v>
      </c>
      <c r="AP1" s="166" t="s">
        <v>184</v>
      </c>
      <c r="AQ1" s="166" t="s">
        <v>185</v>
      </c>
      <c r="AR1" s="166" t="s">
        <v>186</v>
      </c>
      <c r="AS1" s="166" t="s">
        <v>187</v>
      </c>
      <c r="AT1" s="166" t="s">
        <v>188</v>
      </c>
      <c r="AU1" s="166" t="s">
        <v>189</v>
      </c>
      <c r="AV1" s="166" t="s">
        <v>190</v>
      </c>
      <c r="AW1" s="166" t="s">
        <v>191</v>
      </c>
      <c r="AX1" s="166" t="s">
        <v>192</v>
      </c>
      <c r="AY1" s="166" t="s">
        <v>193</v>
      </c>
      <c r="AZ1" s="166" t="s">
        <v>194</v>
      </c>
      <c r="BA1" s="166" t="s">
        <v>195</v>
      </c>
      <c r="BB1" s="166" t="s">
        <v>196</v>
      </c>
      <c r="BC1" s="166" t="s">
        <v>197</v>
      </c>
      <c r="BD1" s="166" t="s">
        <v>198</v>
      </c>
      <c r="BE1" s="166" t="s">
        <v>199</v>
      </c>
      <c r="BF1" s="166" t="s">
        <v>200</v>
      </c>
      <c r="BG1" s="166" t="s">
        <v>201</v>
      </c>
      <c r="BH1" s="166" t="s">
        <v>202</v>
      </c>
      <c r="BI1" s="166" t="s">
        <v>203</v>
      </c>
      <c r="BJ1" s="166" t="s">
        <v>204</v>
      </c>
      <c r="BK1" s="166" t="s">
        <v>205</v>
      </c>
      <c r="BL1" s="166" t="s">
        <v>206</v>
      </c>
      <c r="BM1" s="166" t="s">
        <v>207</v>
      </c>
      <c r="BN1" s="166" t="s">
        <v>208</v>
      </c>
      <c r="BO1" s="166" t="s">
        <v>209</v>
      </c>
      <c r="BP1" s="166" t="s">
        <v>210</v>
      </c>
      <c r="BQ1" s="166" t="s">
        <v>211</v>
      </c>
      <c r="BR1" s="166" t="s">
        <v>212</v>
      </c>
      <c r="BS1" s="166" t="s">
        <v>213</v>
      </c>
      <c r="BT1" s="166" t="s">
        <v>214</v>
      </c>
      <c r="BU1" s="166" t="s">
        <v>215</v>
      </c>
      <c r="BV1" s="166" t="s">
        <v>216</v>
      </c>
      <c r="BW1" s="166" t="s">
        <v>217</v>
      </c>
      <c r="BX1" s="166" t="s">
        <v>218</v>
      </c>
      <c r="BY1" s="167"/>
    </row>
    <row r="2" customFormat="false" ht="12.75" hidden="true" customHeight="false" outlineLevel="0" collapsed="false">
      <c r="A2" s="3" t="n">
        <v>1</v>
      </c>
      <c r="B2" s="3" t="n">
        <v>1.1</v>
      </c>
      <c r="C2" s="3" t="s">
        <v>219</v>
      </c>
      <c r="D2" s="3" t="s">
        <v>220</v>
      </c>
      <c r="E2" s="3" t="n">
        <v>0.00320477252781863</v>
      </c>
      <c r="F2" s="3" t="n">
        <v>0.00321465410420345</v>
      </c>
      <c r="G2" s="168" t="n">
        <v>0.000102770676427841</v>
      </c>
      <c r="H2" s="3" t="n">
        <v>0.0020679430342729</v>
      </c>
      <c r="I2" s="3" t="n">
        <v>0.00395563997669571</v>
      </c>
      <c r="J2" s="3" t="n">
        <v>0.00401059958108605</v>
      </c>
      <c r="K2" s="3" t="n">
        <v>0.0307837149565211</v>
      </c>
      <c r="L2" s="168" t="n">
        <v>1.31705472871681E-029</v>
      </c>
      <c r="M2" s="3" t="n">
        <v>0.0569823791999971</v>
      </c>
      <c r="N2" s="3" t="n">
        <v>0</v>
      </c>
      <c r="O2" s="3" t="n">
        <v>0.0101237188340565</v>
      </c>
      <c r="P2" s="3" t="n">
        <v>0</v>
      </c>
      <c r="Q2" s="3" t="n">
        <v>0.0274720638427543</v>
      </c>
      <c r="R2" s="168" t="n">
        <v>2.10728756594691E-028</v>
      </c>
      <c r="S2" s="3" t="n">
        <v>0.0123295830543491</v>
      </c>
      <c r="T2" s="3" t="n">
        <v>0</v>
      </c>
      <c r="U2" s="3" t="n">
        <v>0.0752981037536249</v>
      </c>
      <c r="V2" s="3" t="n">
        <v>0</v>
      </c>
      <c r="W2" s="168" t="n">
        <v>1.87715953597108E-007</v>
      </c>
      <c r="X2" s="168" t="n">
        <v>0.000305784885756591</v>
      </c>
      <c r="Y2" s="168" t="n">
        <v>1.10632934776088E-007</v>
      </c>
      <c r="Z2" s="3" t="n">
        <v>0.00279108801487807</v>
      </c>
      <c r="AA2" s="168" t="n">
        <v>6.18706178666601E-008</v>
      </c>
      <c r="AB2" s="168" t="n">
        <v>0.000646844851965893</v>
      </c>
      <c r="AC2" s="3" t="n">
        <v>0.00131991022660147</v>
      </c>
      <c r="AD2" s="3" t="n">
        <v>0.00157800964694928</v>
      </c>
      <c r="AE2" s="168" t="n">
        <v>0.000422992911413053</v>
      </c>
      <c r="AF2" s="3" t="n">
        <v>0.0036278748978261</v>
      </c>
      <c r="AG2" s="168" t="n">
        <v>1.22660280085803E-037</v>
      </c>
      <c r="AH2" s="3" t="n">
        <v>0.00478016681449287</v>
      </c>
      <c r="AI2" s="3" t="n">
        <v>0</v>
      </c>
      <c r="AJ2" s="3" t="n">
        <v>0.0017562286427534</v>
      </c>
      <c r="AK2" s="168" t="n">
        <v>2.63410945743363E-029</v>
      </c>
      <c r="AL2" s="168" t="n">
        <v>7.24556394130386E-009</v>
      </c>
      <c r="AM2" s="3" t="n">
        <v>0.00176553863846943</v>
      </c>
      <c r="AN2" s="168" t="n">
        <v>2.35407911857969E-007</v>
      </c>
      <c r="AO2" s="3" t="n">
        <v>0.00439201109065887</v>
      </c>
      <c r="AP2" s="168" t="n">
        <v>3.47499929773184E-007</v>
      </c>
      <c r="AQ2" s="168" t="n">
        <v>0.000917259456783285</v>
      </c>
      <c r="AR2" s="168" t="n">
        <v>0.000144851750775345</v>
      </c>
      <c r="AS2" s="168" t="n">
        <v>0.000499968813759921</v>
      </c>
      <c r="AT2" s="168" t="n">
        <v>0.000656875677210134</v>
      </c>
      <c r="AU2" s="168" t="n">
        <v>3.31204313047681E-008</v>
      </c>
      <c r="AV2" s="168" t="n">
        <v>1.35784112971736E-007</v>
      </c>
      <c r="AW2" s="168" t="n">
        <v>5.45574573914891E-008</v>
      </c>
      <c r="AX2" s="168" t="n">
        <v>3.79869478092105E-042</v>
      </c>
      <c r="AY2" s="168" t="n">
        <v>1.58109664171162E-041</v>
      </c>
      <c r="AZ2" s="168" t="n">
        <v>6.25819908904274E-042</v>
      </c>
      <c r="BA2" s="168" t="n">
        <v>2.5914898369634E-007</v>
      </c>
      <c r="BB2" s="168" t="n">
        <v>2.30270208405749E-007</v>
      </c>
      <c r="BC2" s="168" t="n">
        <v>3.69019567536072E-007</v>
      </c>
      <c r="BD2" s="168" t="n">
        <v>5.66971803332551E-008</v>
      </c>
      <c r="BE2" s="168" t="n">
        <v>5.22536469673943E-008</v>
      </c>
      <c r="BF2" s="168" t="n">
        <v>1.50455838380023E-008</v>
      </c>
      <c r="BG2" s="168" t="n">
        <v>3.34682764485925E-005</v>
      </c>
      <c r="BH2" s="168" t="n">
        <v>3.05692390582478E-005</v>
      </c>
      <c r="BI2" s="168" t="n">
        <v>8.79168204205156E-006</v>
      </c>
      <c r="BJ2" s="168" t="n">
        <v>7.5625610145615E-008</v>
      </c>
      <c r="BK2" s="168" t="n">
        <v>9.92869193479563E-008</v>
      </c>
      <c r="BL2" s="168" t="n">
        <v>7.96878927540208E-009</v>
      </c>
      <c r="BM2" s="168" t="n">
        <v>5.66284744328538E-009</v>
      </c>
      <c r="BN2" s="168" t="n">
        <v>6.83430879498438E-009</v>
      </c>
      <c r="BO2" s="168" t="n">
        <v>2.25492318882855E-008</v>
      </c>
      <c r="BP2" s="168" t="n">
        <v>2.03633963654E-006</v>
      </c>
      <c r="BQ2" s="168" t="n">
        <v>2.36664617262109E-006</v>
      </c>
      <c r="BR2" s="168" t="n">
        <v>7.88537781297383E-006</v>
      </c>
      <c r="BS2" s="169"/>
      <c r="BT2" s="169"/>
      <c r="BU2" s="169"/>
      <c r="BV2" s="169"/>
      <c r="BW2" s="169"/>
      <c r="BX2" s="169"/>
      <c r="BY2" s="169"/>
    </row>
    <row r="3" customFormat="false" ht="12.75" hidden="true" customHeight="false" outlineLevel="0" collapsed="false">
      <c r="A3" s="3" t="n">
        <v>1</v>
      </c>
      <c r="B3" s="3" t="n">
        <v>1.1</v>
      </c>
      <c r="C3" s="3" t="s">
        <v>221</v>
      </c>
      <c r="D3" s="3" t="s">
        <v>220</v>
      </c>
      <c r="E3" s="3" t="n">
        <v>0.00275824254920995</v>
      </c>
      <c r="F3" s="168" t="n">
        <v>0.00064520997068263</v>
      </c>
      <c r="G3" s="168" t="n">
        <v>8.61937755188374E-005</v>
      </c>
      <c r="H3" s="3" t="n">
        <v>0.00184429494315338</v>
      </c>
      <c r="I3" s="168" t="n">
        <v>0.000666973050240625</v>
      </c>
      <c r="J3" s="3" t="n">
        <v>0.00245147107482879</v>
      </c>
      <c r="K3" s="3" t="n">
        <v>0.0122405177500005</v>
      </c>
      <c r="L3" s="168" t="n">
        <v>1.64631841089602E-029</v>
      </c>
      <c r="M3" s="3" t="n">
        <v>0.03730636107826</v>
      </c>
      <c r="N3" s="3" t="n">
        <v>0</v>
      </c>
      <c r="O3" s="3" t="n">
        <v>0.0113573631304332</v>
      </c>
      <c r="P3" s="3" t="n">
        <v>0</v>
      </c>
      <c r="Q3" s="3" t="n">
        <v>0.0331552224340592</v>
      </c>
      <c r="R3" s="168" t="n">
        <v>1.75607297162242E-028</v>
      </c>
      <c r="S3" s="3" t="n">
        <v>0.0112821981384045</v>
      </c>
      <c r="T3" s="3" t="n">
        <v>0</v>
      </c>
      <c r="U3" s="3" t="n">
        <v>0.0341826467587036</v>
      </c>
      <c r="V3" s="3" t="n">
        <v>0</v>
      </c>
      <c r="W3" s="168" t="n">
        <v>7.04036104695657E-008</v>
      </c>
      <c r="X3" s="168" t="n">
        <v>0.000127096703682979</v>
      </c>
      <c r="Y3" s="168" t="n">
        <v>8.79635709536187E-008</v>
      </c>
      <c r="Z3" s="168" t="n">
        <v>0.000559802931716248</v>
      </c>
      <c r="AA3" s="168" t="n">
        <v>5.11176841130411E-008</v>
      </c>
      <c r="AB3" s="168" t="n">
        <v>0.000362616994019963</v>
      </c>
      <c r="AC3" s="168" t="n">
        <v>0.00092595646223192</v>
      </c>
      <c r="AD3" s="168" t="n">
        <v>0.000463782951971049</v>
      </c>
      <c r="AE3" s="168" t="n">
        <v>0.000162633860862323</v>
      </c>
      <c r="AF3" s="3" t="n">
        <v>0.00238711734492758</v>
      </c>
      <c r="AG3" s="168" t="n">
        <v>4.08867600286013E-038</v>
      </c>
      <c r="AH3" s="3" t="n">
        <v>0.00217527150144937</v>
      </c>
      <c r="AI3" s="3" t="n">
        <v>0</v>
      </c>
      <c r="AJ3" s="3" t="n">
        <v>0.00211546909492777</v>
      </c>
      <c r="AK3" s="168" t="n">
        <v>7.0242918864897E-029</v>
      </c>
      <c r="AL3" s="168" t="n">
        <v>1.0119288031885E-008</v>
      </c>
      <c r="AM3" s="168" t="n">
        <v>0.000521009436330566</v>
      </c>
      <c r="AN3" s="168" t="n">
        <v>3.6286044217319E-007</v>
      </c>
      <c r="AO3" s="3" t="n">
        <v>0.00906244594301088</v>
      </c>
      <c r="AP3" s="168" t="n">
        <v>4.29980663231895E-007</v>
      </c>
      <c r="AQ3" s="3" t="n">
        <v>0.00234583557204451</v>
      </c>
      <c r="AR3" s="168" t="n">
        <v>5.20880491304346E-005</v>
      </c>
      <c r="AS3" s="168" t="n">
        <v>0.000110284320353626</v>
      </c>
      <c r="AT3" s="168" t="n">
        <v>0.000149012384166664</v>
      </c>
      <c r="AU3" s="168" t="n">
        <v>6.15041958700419E-008</v>
      </c>
      <c r="AV3" s="168" t="n">
        <v>1.04533868912501E-007</v>
      </c>
      <c r="AW3" s="168" t="n">
        <v>3.10947197099107E-008</v>
      </c>
      <c r="AX3" s="168" t="n">
        <v>7.05396784354927E-042</v>
      </c>
      <c r="AY3" s="168" t="n">
        <v>1.21706853349093E-041</v>
      </c>
      <c r="AZ3" s="168" t="n">
        <v>3.56667316603822E-042</v>
      </c>
      <c r="BA3" s="168" t="n">
        <v>4.14492294492736E-007</v>
      </c>
      <c r="BB3" s="168" t="n">
        <v>5.81288669491175E-007</v>
      </c>
      <c r="BC3" s="168" t="n">
        <v>1.19883644058068E-006</v>
      </c>
      <c r="BD3" s="168" t="n">
        <v>2.56227824557513E-008</v>
      </c>
      <c r="BE3" s="168" t="n">
        <v>2.49308039855347E-008</v>
      </c>
      <c r="BF3" s="168" t="n">
        <v>2.95338172849117E-008</v>
      </c>
      <c r="BG3" s="168" t="n">
        <v>1.509530756984E-005</v>
      </c>
      <c r="BH3" s="168" t="n">
        <v>1.46030580438511E-005</v>
      </c>
      <c r="BI3" s="168" t="n">
        <v>1.72987411699618E-005</v>
      </c>
      <c r="BJ3" s="168" t="n">
        <v>1.32106911014135E-007</v>
      </c>
      <c r="BK3" s="168" t="n">
        <v>5.57351104350166E-008</v>
      </c>
      <c r="BL3" s="168" t="n">
        <v>1.02208636955321E-008</v>
      </c>
      <c r="BM3" s="168" t="n">
        <v>2.78749074929496E-009</v>
      </c>
      <c r="BN3" s="168" t="n">
        <v>1.16774864535516E-008</v>
      </c>
      <c r="BO3" s="168" t="n">
        <v>2.87535309093224E-008</v>
      </c>
      <c r="BP3" s="168" t="n">
        <v>1.0036096583462E-006</v>
      </c>
      <c r="BQ3" s="168" t="n">
        <v>4.04294708291702E-006</v>
      </c>
      <c r="BR3" s="168" t="n">
        <v>1.00618531059279E-005</v>
      </c>
      <c r="BS3" s="169"/>
      <c r="BT3" s="169"/>
      <c r="BU3" s="169"/>
      <c r="BV3" s="169"/>
      <c r="BW3" s="169"/>
      <c r="BX3" s="169"/>
      <c r="BY3" s="169"/>
    </row>
    <row r="4" customFormat="false" ht="12.75" hidden="true" customHeight="false" outlineLevel="0" collapsed="false">
      <c r="A4" s="3" t="n">
        <v>1</v>
      </c>
      <c r="B4" s="3" t="n">
        <v>1.1</v>
      </c>
      <c r="C4" s="3" t="s">
        <v>222</v>
      </c>
      <c r="D4" s="3" t="s">
        <v>220</v>
      </c>
      <c r="E4" s="3" t="n">
        <v>0.00233919660903649</v>
      </c>
      <c r="F4" s="168" t="n">
        <v>0.000363864643780895</v>
      </c>
      <c r="G4" s="168" t="n">
        <v>5.52729423686462E-005</v>
      </c>
      <c r="H4" s="3" t="n">
        <v>0.00189509647245196</v>
      </c>
      <c r="I4" s="168" t="n">
        <v>0.000408063874469494</v>
      </c>
      <c r="J4" s="3" t="n">
        <v>0.00247767783984187</v>
      </c>
      <c r="K4" s="3" t="n">
        <v>0.0112794185971026</v>
      </c>
      <c r="L4" s="168" t="n">
        <v>1.64631841089602E-029</v>
      </c>
      <c r="M4" s="3" t="n">
        <v>0.0321533999536213</v>
      </c>
      <c r="N4" s="3" t="n">
        <v>0</v>
      </c>
      <c r="O4" s="3" t="n">
        <v>0.0134223602318847</v>
      </c>
      <c r="P4" s="3" t="n">
        <v>0</v>
      </c>
      <c r="Q4" s="3" t="n">
        <v>0.036604267094926</v>
      </c>
      <c r="R4" s="168" t="n">
        <v>7.0242918864897E-029</v>
      </c>
      <c r="S4" s="3" t="n">
        <v>0.00918790972101478</v>
      </c>
      <c r="T4" s="3" t="n">
        <v>0</v>
      </c>
      <c r="U4" s="3" t="n">
        <v>0.0329449297673957</v>
      </c>
      <c r="V4" s="3" t="n">
        <v>0</v>
      </c>
      <c r="W4" s="168" t="n">
        <v>9.49142513014452E-008</v>
      </c>
      <c r="X4" s="168" t="n">
        <v>0.00014617270789477</v>
      </c>
      <c r="Y4" s="168" t="n">
        <v>1.66730471094913E-007</v>
      </c>
      <c r="Z4" s="168" t="n">
        <v>0.000781339593358366</v>
      </c>
      <c r="AA4" s="168" t="n">
        <v>7.12109773036288E-008</v>
      </c>
      <c r="AB4" s="3" t="n">
        <v>0.00109764403546029</v>
      </c>
      <c r="AC4" s="168" t="n">
        <v>0.000984973956753613</v>
      </c>
      <c r="AD4" s="3" t="n">
        <v>0.0013852295727536</v>
      </c>
      <c r="AE4" s="168" t="n">
        <v>0.000491579261326108</v>
      </c>
      <c r="AF4" s="3" t="n">
        <v>0.0020320454949275</v>
      </c>
      <c r="AG4" s="168" t="n">
        <v>2.24877180157307E-038</v>
      </c>
      <c r="AH4" s="3" t="n">
        <v>0.00208408128623167</v>
      </c>
      <c r="AI4" s="3" t="n">
        <v>0</v>
      </c>
      <c r="AJ4" s="3" t="n">
        <v>0.00231902959710147</v>
      </c>
      <c r="AK4" s="168" t="n">
        <v>5.26821891486727E-029</v>
      </c>
      <c r="AL4" s="168" t="n">
        <v>8.28014336231972E-009</v>
      </c>
      <c r="AM4" s="168" t="n">
        <v>0.000374610758105331</v>
      </c>
      <c r="AN4" s="168" t="n">
        <v>3.28597762434065E-007</v>
      </c>
      <c r="AO4" s="3" t="n">
        <v>0.00624906023992844</v>
      </c>
      <c r="AP4" s="168" t="n">
        <v>2.70374584426099E-007</v>
      </c>
      <c r="AQ4" s="168" t="n">
        <v>0.000968044236793958</v>
      </c>
      <c r="AR4" s="168" t="n">
        <v>4.01076194710123E-005</v>
      </c>
      <c r="AS4" s="168" t="n">
        <v>9.02834836997123E-005</v>
      </c>
      <c r="AT4" s="168" t="n">
        <v>0.000115804130427543</v>
      </c>
      <c r="AU4" s="168" t="n">
        <v>6.34221210137937E-009</v>
      </c>
      <c r="AV4" s="168" t="n">
        <v>3.27444851447955E-008</v>
      </c>
      <c r="AW4" s="168" t="n">
        <v>3.31743529706585E-008</v>
      </c>
      <c r="AX4" s="168" t="n">
        <v>7.27394765380972E-043</v>
      </c>
      <c r="AY4" s="168" t="n">
        <v>3.81213636355035E-042</v>
      </c>
      <c r="AZ4" s="168" t="n">
        <v>3.80503170536192E-042</v>
      </c>
      <c r="BA4" s="168" t="n">
        <v>3.82527863188525E-007</v>
      </c>
      <c r="BB4" s="168" t="n">
        <v>5.1925163362228E-007</v>
      </c>
      <c r="BC4" s="168" t="n">
        <v>9.98895892173282E-007</v>
      </c>
      <c r="BD4" s="168" t="n">
        <v>2.82429002282932E-008</v>
      </c>
      <c r="BE4" s="168" t="n">
        <v>6.92916617341703E-008</v>
      </c>
      <c r="BF4" s="168" t="n">
        <v>1.77982563968434E-008</v>
      </c>
      <c r="BG4" s="168" t="n">
        <v>1.65745416482878E-005</v>
      </c>
      <c r="BH4" s="168" t="n">
        <v>4.0708035160514E-005</v>
      </c>
      <c r="BI4" s="168" t="n">
        <v>1.03583205560938E-005</v>
      </c>
      <c r="BJ4" s="168" t="n">
        <v>1.13943093841182E-007</v>
      </c>
      <c r="BK4" s="168" t="n">
        <v>4.92681910143593E-008</v>
      </c>
      <c r="BL4" s="168" t="n">
        <v>2.16243826091864E-009</v>
      </c>
      <c r="BM4" s="168" t="n">
        <v>9.78795098941352E-009</v>
      </c>
      <c r="BN4" s="168" t="n">
        <v>3.43992364567549E-009</v>
      </c>
      <c r="BO4" s="168" t="n">
        <v>2.02922927880186E-008</v>
      </c>
      <c r="BP4" s="168" t="n">
        <v>3.5230730108779E-006</v>
      </c>
      <c r="BQ4" s="168" t="n">
        <v>1.19072528727488E-006</v>
      </c>
      <c r="BR4" s="168" t="n">
        <v>7.09870988513595E-006</v>
      </c>
      <c r="BS4" s="169"/>
      <c r="BT4" s="169"/>
      <c r="BU4" s="169"/>
      <c r="BV4" s="169"/>
      <c r="BW4" s="169"/>
      <c r="BX4" s="169"/>
      <c r="BY4" s="169"/>
    </row>
    <row r="5" customFormat="false" ht="12.75" hidden="true" customHeight="false" outlineLevel="0" collapsed="false">
      <c r="A5" s="3" t="n">
        <v>1</v>
      </c>
      <c r="B5" s="3" t="n">
        <v>1.2</v>
      </c>
      <c r="C5" s="3" t="s">
        <v>223</v>
      </c>
      <c r="D5" s="3" t="s">
        <v>220</v>
      </c>
      <c r="E5" s="3" t="n">
        <v>0.165034973738391</v>
      </c>
      <c r="F5" s="3" t="n">
        <v>0.152911850953612</v>
      </c>
      <c r="G5" s="3" t="n">
        <v>0.174922923054221</v>
      </c>
      <c r="H5" s="3" t="n">
        <v>0.00333491217319077</v>
      </c>
      <c r="I5" s="3" t="n">
        <v>0.00498638198397754</v>
      </c>
      <c r="J5" s="3" t="n">
        <v>0.00709175096401699</v>
      </c>
      <c r="K5" s="3" t="n">
        <v>0.0147901505971021</v>
      </c>
      <c r="L5" s="168" t="n">
        <v>1.48168656980642E-029</v>
      </c>
      <c r="M5" s="3" t="n">
        <v>0.0408436293731875</v>
      </c>
      <c r="N5" s="3" t="n">
        <v>0</v>
      </c>
      <c r="O5" s="3" t="n">
        <v>0.0135386598927536</v>
      </c>
      <c r="P5" s="3" t="n">
        <v>0</v>
      </c>
      <c r="Q5" s="3" t="n">
        <v>0.0429169932282563</v>
      </c>
      <c r="R5" s="168" t="n">
        <v>1.75607297162242E-028</v>
      </c>
      <c r="S5" s="3" t="n">
        <v>0.015662839788406</v>
      </c>
      <c r="T5" s="3" t="n">
        <v>0</v>
      </c>
      <c r="U5" s="3" t="n">
        <v>0.0482387732978251</v>
      </c>
      <c r="V5" s="3" t="n">
        <v>0</v>
      </c>
      <c r="W5" s="168" t="n">
        <v>1.74998233164055E-006</v>
      </c>
      <c r="X5" s="3" t="n">
        <v>0.0200279805373299</v>
      </c>
      <c r="Y5" s="168" t="n">
        <v>2.21004917841668E-006</v>
      </c>
      <c r="Z5" s="3" t="n">
        <v>0.0254250787654219</v>
      </c>
      <c r="AA5" s="168" t="n">
        <v>2.54730406733916E-006</v>
      </c>
      <c r="AB5" s="3" t="n">
        <v>0.0136195194522313</v>
      </c>
      <c r="AC5" s="3" t="n">
        <v>0.0377633250253629</v>
      </c>
      <c r="AD5" s="3" t="n">
        <v>0.00862150215579766</v>
      </c>
      <c r="AE5" s="3" t="n">
        <v>0.0277768831123184</v>
      </c>
      <c r="AF5" s="3" t="n">
        <v>0.00255669776739155</v>
      </c>
      <c r="AG5" s="168" t="n">
        <v>3.68438771969732E-034</v>
      </c>
      <c r="AH5" s="3" t="n">
        <v>0.00301346381449267</v>
      </c>
      <c r="AI5" s="3" t="n">
        <v>0</v>
      </c>
      <c r="AJ5" s="3" t="n">
        <v>0.00269051687826087</v>
      </c>
      <c r="AK5" s="168" t="n">
        <v>2.10728756594691E-028</v>
      </c>
      <c r="AL5" s="168" t="n">
        <v>1.20175167934788E-006</v>
      </c>
      <c r="AM5" s="168" t="n">
        <v>0.000842597599370267</v>
      </c>
      <c r="AN5" s="168" t="n">
        <v>4.54275236057972E-006</v>
      </c>
      <c r="AO5" s="3" t="n">
        <v>0.00184819887029004</v>
      </c>
      <c r="AP5" s="168" t="n">
        <v>1.13902259894925E-005</v>
      </c>
      <c r="AQ5" s="3" t="n">
        <v>0.00553336946803896</v>
      </c>
      <c r="AR5" s="3" t="n">
        <v>0.0132351148840565</v>
      </c>
      <c r="AS5" s="3" t="n">
        <v>0.0459548431536225</v>
      </c>
      <c r="AT5" s="3" t="n">
        <v>0.0043307111884051</v>
      </c>
      <c r="AU5" s="168" t="n">
        <v>7.65867049289101E-008</v>
      </c>
      <c r="AV5" s="168" t="n">
        <v>6.61672464318689E-006</v>
      </c>
      <c r="AW5" s="168" t="n">
        <v>1.16289041668003E-007</v>
      </c>
      <c r="AX5" s="168" t="n">
        <v>8.78459372257428E-042</v>
      </c>
      <c r="AY5" s="168" t="n">
        <v>7.71156810703268E-040</v>
      </c>
      <c r="AZ5" s="168" t="n">
        <v>1.33408949586785E-041</v>
      </c>
      <c r="BA5" s="168" t="n">
        <v>2.07598188166732E-006</v>
      </c>
      <c r="BB5" s="168" t="n">
        <v>2.6491025075361E-006</v>
      </c>
      <c r="BC5" s="168" t="n">
        <v>2.16746057710034E-006</v>
      </c>
      <c r="BD5" s="168" t="n">
        <v>3.24910262894995E-005</v>
      </c>
      <c r="BE5" s="168" t="n">
        <v>3.08463472855715E-005</v>
      </c>
      <c r="BF5" s="168" t="n">
        <v>2.81779929319497E-005</v>
      </c>
      <c r="BG5" s="3" t="n">
        <v>0.0185158995932347</v>
      </c>
      <c r="BH5" s="3" t="n">
        <v>0.0173781782876611</v>
      </c>
      <c r="BI5" s="3" t="n">
        <v>0.0159535147978049</v>
      </c>
      <c r="BJ5" s="168" t="n">
        <v>2.61136807064979E-006</v>
      </c>
      <c r="BK5" s="168" t="n">
        <v>2.94488868862149E-006</v>
      </c>
      <c r="BL5" s="168" t="n">
        <v>6.02624941732213E-006</v>
      </c>
      <c r="BM5" s="168" t="n">
        <v>9.40561887117516E-007</v>
      </c>
      <c r="BN5" s="168" t="n">
        <v>2.90894965539171E-005</v>
      </c>
      <c r="BO5" s="168" t="n">
        <v>2.77780149690157E-006</v>
      </c>
      <c r="BP5" s="168" t="n">
        <v>0.000563920097338394</v>
      </c>
      <c r="BQ5" s="3" t="n">
        <v>0.00843755470630007</v>
      </c>
      <c r="BR5" s="3" t="n">
        <v>0.0015411126680007</v>
      </c>
      <c r="BS5" s="169"/>
      <c r="BT5" s="169"/>
      <c r="BU5" s="169"/>
      <c r="BV5" s="169"/>
      <c r="BW5" s="169"/>
      <c r="BX5" s="169"/>
      <c r="BY5" s="169"/>
    </row>
    <row r="6" customFormat="false" ht="12.75" hidden="true" customHeight="false" outlineLevel="0" collapsed="false">
      <c r="A6" s="3" t="n">
        <v>1</v>
      </c>
      <c r="B6" s="3" t="n">
        <v>1.2</v>
      </c>
      <c r="C6" s="3" t="s">
        <v>224</v>
      </c>
      <c r="D6" s="3" t="s">
        <v>220</v>
      </c>
      <c r="E6" s="3" t="n">
        <v>0.0245246216978259</v>
      </c>
      <c r="F6" s="3" t="n">
        <v>0.019148848173186</v>
      </c>
      <c r="G6" s="3" t="n">
        <v>0.0206195979882214</v>
      </c>
      <c r="H6" s="3" t="n">
        <v>0.00215216980579638</v>
      </c>
      <c r="I6" s="3" t="n">
        <v>0.00190361011338872</v>
      </c>
      <c r="J6" s="3" t="n">
        <v>0.00253938709157406</v>
      </c>
      <c r="K6" s="3" t="n">
        <v>0.0125076445304357</v>
      </c>
      <c r="L6" s="168" t="n">
        <v>1.31705472871681E-029</v>
      </c>
      <c r="M6" s="3" t="n">
        <v>0.0372680891065213</v>
      </c>
      <c r="N6" s="3" t="n">
        <v>0</v>
      </c>
      <c r="O6" s="3" t="n">
        <v>0.0144502331123178</v>
      </c>
      <c r="P6" s="3" t="n">
        <v>0</v>
      </c>
      <c r="Q6" s="3" t="n">
        <v>0.0483743259065235</v>
      </c>
      <c r="R6" s="168" t="n">
        <v>1.05364378297345E-028</v>
      </c>
      <c r="S6" s="3" t="n">
        <v>0.0150940847992758</v>
      </c>
      <c r="T6" s="3" t="n">
        <v>0</v>
      </c>
      <c r="U6" s="3" t="n">
        <v>0.0405249105710123</v>
      </c>
      <c r="V6" s="3" t="n">
        <v>0</v>
      </c>
      <c r="W6" s="168" t="n">
        <v>6.53579556121012E-007</v>
      </c>
      <c r="X6" s="3" t="n">
        <v>0.00847155466872333</v>
      </c>
      <c r="Y6" s="168" t="n">
        <v>6.7559072302316E-007</v>
      </c>
      <c r="Z6" s="3" t="n">
        <v>0.0110850777509356</v>
      </c>
      <c r="AA6" s="168" t="n">
        <v>1.01409103264272E-006</v>
      </c>
      <c r="AB6" s="3" t="n">
        <v>0.00792460946851057</v>
      </c>
      <c r="AC6" s="3" t="n">
        <v>0.00544414320869552</v>
      </c>
      <c r="AD6" s="3" t="n">
        <v>0.00559197219710121</v>
      </c>
      <c r="AE6" s="3" t="n">
        <v>0.00259817036449316</v>
      </c>
      <c r="AF6" s="3" t="n">
        <v>0.00239693147173909</v>
      </c>
      <c r="AG6" s="168" t="n">
        <v>2.00966602892581E-034</v>
      </c>
      <c r="AH6" s="3" t="n">
        <v>0.00259263186956502</v>
      </c>
      <c r="AI6" s="3" t="n">
        <v>0</v>
      </c>
      <c r="AJ6" s="3" t="n">
        <v>0.00310285406086945</v>
      </c>
      <c r="AK6" s="168" t="n">
        <v>2.10728756594691E-028</v>
      </c>
      <c r="AL6" s="168" t="n">
        <v>1.97178033710147E-006</v>
      </c>
      <c r="AM6" s="168" t="n">
        <v>0.000636399143799971</v>
      </c>
      <c r="AN6" s="168" t="n">
        <v>2.18804096318841E-006</v>
      </c>
      <c r="AO6" s="168" t="n">
        <v>0.000918573565665151</v>
      </c>
      <c r="AP6" s="168" t="n">
        <v>2.65650964492749E-006</v>
      </c>
      <c r="AQ6" s="3" t="n">
        <v>0.00232071454742262</v>
      </c>
      <c r="AR6" s="3" t="n">
        <v>0.00239463626666634</v>
      </c>
      <c r="AS6" s="3" t="n">
        <v>0.00400064782536197</v>
      </c>
      <c r="AT6" s="3" t="n">
        <v>0.00392545519710175</v>
      </c>
      <c r="AU6" s="168" t="n">
        <v>3.11896938406341E-008</v>
      </c>
      <c r="AV6" s="168" t="n">
        <v>1.39056534347596E-006</v>
      </c>
      <c r="AW6" s="168" t="n">
        <v>1.09944297319436E-007</v>
      </c>
      <c r="AX6" s="168" t="n">
        <v>3.57732576848546E-042</v>
      </c>
      <c r="AY6" s="168" t="n">
        <v>1.61984492855536E-040</v>
      </c>
      <c r="AZ6" s="168" t="n">
        <v>1.26123708857224E-041</v>
      </c>
      <c r="BA6" s="168" t="n">
        <v>1.3199411373188E-006</v>
      </c>
      <c r="BB6" s="168" t="n">
        <v>1.60933329732054E-006</v>
      </c>
      <c r="BC6" s="168" t="n">
        <v>2.40835531645113E-006</v>
      </c>
      <c r="BD6" s="168" t="n">
        <v>7.37582856053028E-006</v>
      </c>
      <c r="BE6" s="168" t="n">
        <v>8.27739841908648E-006</v>
      </c>
      <c r="BF6" s="168" t="n">
        <v>4.57655385054069E-006</v>
      </c>
      <c r="BG6" s="3" t="n">
        <v>0.00412966797824889</v>
      </c>
      <c r="BH6" s="3" t="n">
        <v>0.00459084663415298</v>
      </c>
      <c r="BI6" s="3" t="n">
        <v>0.00247835944636598</v>
      </c>
      <c r="BJ6" s="168" t="n">
        <v>6.63549930080119E-006</v>
      </c>
      <c r="BK6" s="168" t="n">
        <v>8.23505739139333E-009</v>
      </c>
      <c r="BL6" s="168" t="n">
        <v>2.0176902927566E-007</v>
      </c>
      <c r="BM6" s="168" t="n">
        <v>5.83285431609554E-007</v>
      </c>
      <c r="BN6" s="168" t="n">
        <v>9.75271689457129E-008</v>
      </c>
      <c r="BO6" s="168" t="n">
        <v>7.59458398704478E-006</v>
      </c>
      <c r="BP6" s="168" t="n">
        <v>0.000550585069816046</v>
      </c>
      <c r="BQ6" s="168" t="n">
        <v>3.34174910874915E-005</v>
      </c>
      <c r="BR6" s="3" t="n">
        <v>0.00238152939244135</v>
      </c>
      <c r="BS6" s="169"/>
      <c r="BT6" s="169"/>
      <c r="BU6" s="169"/>
      <c r="BV6" s="169"/>
      <c r="BW6" s="169"/>
      <c r="BX6" s="169"/>
      <c r="BY6" s="169"/>
    </row>
    <row r="7" customFormat="false" ht="12.75" hidden="true" customHeight="false" outlineLevel="0" collapsed="false">
      <c r="A7" s="3" t="n">
        <v>1</v>
      </c>
      <c r="B7" s="3" t="n">
        <v>1.2</v>
      </c>
      <c r="C7" s="3" t="s">
        <v>225</v>
      </c>
      <c r="D7" s="3" t="s">
        <v>220</v>
      </c>
      <c r="E7" s="3" t="n">
        <v>0.0122333525731881</v>
      </c>
      <c r="F7" s="3" t="n">
        <v>0.0119816849557949</v>
      </c>
      <c r="G7" s="3" t="n">
        <v>0.0125100337200103</v>
      </c>
      <c r="H7" s="3" t="n">
        <v>0.0013460066405812</v>
      </c>
      <c r="I7" s="168" t="n">
        <v>0.000861526521403219</v>
      </c>
      <c r="J7" s="3" t="n">
        <v>0.00275066580272634</v>
      </c>
      <c r="K7" s="3" t="n">
        <v>0.00358516060797073</v>
      </c>
      <c r="L7" s="168" t="n">
        <v>1.64631841089602E-029</v>
      </c>
      <c r="M7" s="3" t="n">
        <v>0.0103195665710121</v>
      </c>
      <c r="N7" s="3" t="n">
        <v>0</v>
      </c>
      <c r="O7" s="3" t="n">
        <v>0.00591682352971071</v>
      </c>
      <c r="P7" s="3" t="n">
        <v>0</v>
      </c>
      <c r="Q7" s="3" t="n">
        <v>0.0420985173101441</v>
      </c>
      <c r="R7" s="168" t="n">
        <v>7.0242918864897E-029</v>
      </c>
      <c r="S7" s="3" t="n">
        <v>0.0143388531913039</v>
      </c>
      <c r="T7" s="3" t="n">
        <v>0</v>
      </c>
      <c r="U7" s="3" t="n">
        <v>0.019081317866664</v>
      </c>
      <c r="V7" s="3" t="n">
        <v>0</v>
      </c>
      <c r="W7" s="168" t="n">
        <v>4.43909550199989E-007</v>
      </c>
      <c r="X7" s="3" t="n">
        <v>0.00201295491886516</v>
      </c>
      <c r="Y7" s="168" t="n">
        <v>2.28944203718858E-007</v>
      </c>
      <c r="Z7" s="3" t="n">
        <v>0.00144343784691551</v>
      </c>
      <c r="AA7" s="168" t="n">
        <v>3.22072852344912E-007</v>
      </c>
      <c r="AB7" s="168" t="n">
        <v>0.000800764804663201</v>
      </c>
      <c r="AC7" s="3" t="n">
        <v>0.00522568836449308</v>
      </c>
      <c r="AD7" s="3" t="n">
        <v>0.00228085671884078</v>
      </c>
      <c r="AE7" s="3" t="n">
        <v>0.00373283011014592</v>
      </c>
      <c r="AF7" s="168" t="n">
        <v>0.000659187049275342</v>
      </c>
      <c r="AG7" s="168" t="n">
        <v>5.02416507231452E-034</v>
      </c>
      <c r="AH7" s="3" t="n">
        <v>0.00122274928623204</v>
      </c>
      <c r="AI7" s="3" t="n">
        <v>0</v>
      </c>
      <c r="AJ7" s="3" t="n">
        <v>0.00269418222536228</v>
      </c>
      <c r="AK7" s="168" t="n">
        <v>2.10728756594691E-028</v>
      </c>
      <c r="AL7" s="168" t="n">
        <v>4.72176714021749E-006</v>
      </c>
      <c r="AM7" s="3" t="n">
        <v>0.00186421299211756</v>
      </c>
      <c r="AN7" s="168" t="n">
        <v>3.35177827826101E-006</v>
      </c>
      <c r="AO7" s="3" t="n">
        <v>0.00113070040698742</v>
      </c>
      <c r="AP7" s="168" t="n">
        <v>6.24051169710155E-006</v>
      </c>
      <c r="AQ7" s="168" t="n">
        <v>0.000955869618412898</v>
      </c>
      <c r="AR7" s="168" t="n">
        <v>0.000590141005796884</v>
      </c>
      <c r="AS7" s="168" t="n">
        <v>0.000962745576087016</v>
      </c>
      <c r="AT7" s="3" t="n">
        <v>0.00586085707536211</v>
      </c>
      <c r="AU7" s="168" t="n">
        <v>1.34820173191663E-008</v>
      </c>
      <c r="AV7" s="168" t="n">
        <v>4.57170622536101E-007</v>
      </c>
      <c r="AW7" s="168" t="n">
        <v>2.15275738408868E-008</v>
      </c>
      <c r="AX7" s="168" t="n">
        <v>1.54630181233411E-042</v>
      </c>
      <c r="AY7" s="168" t="n">
        <v>5.32410908507646E-041</v>
      </c>
      <c r="AZ7" s="168" t="n">
        <v>2.46958750982818E-042</v>
      </c>
      <c r="BA7" s="168" t="n">
        <v>9.26316911015024E-007</v>
      </c>
      <c r="BB7" s="168" t="n">
        <v>1.13444926427639E-006</v>
      </c>
      <c r="BC7" s="168" t="n">
        <v>2.60719173565028E-006</v>
      </c>
      <c r="BD7" s="168" t="n">
        <v>3.24966909373119E-006</v>
      </c>
      <c r="BE7" s="168" t="n">
        <v>2.18932393336281E-006</v>
      </c>
      <c r="BF7" s="168" t="n">
        <v>8.52585118883644E-007</v>
      </c>
      <c r="BG7" s="3" t="n">
        <v>0.00179817795443913</v>
      </c>
      <c r="BH7" s="3" t="n">
        <v>0.00118269709271313</v>
      </c>
      <c r="BI7" s="168" t="n">
        <v>0.000424664826949066</v>
      </c>
      <c r="BJ7" s="168" t="n">
        <v>8.19057296739306E-007</v>
      </c>
      <c r="BK7" s="168" t="n">
        <v>4.59583301444673E-008</v>
      </c>
      <c r="BL7" s="168" t="n">
        <v>4.26956533261482E-007</v>
      </c>
      <c r="BM7" s="168" t="n">
        <v>2.49347958107553E-007</v>
      </c>
      <c r="BN7" s="168" t="n">
        <v>1.98239799010341E-007</v>
      </c>
      <c r="BO7" s="168" t="n">
        <v>1.36192517687245E-005</v>
      </c>
      <c r="BP7" s="168" t="n">
        <v>0.000141668971033962</v>
      </c>
      <c r="BQ7" s="168" t="n">
        <v>6.29036233514759E-005</v>
      </c>
      <c r="BR7" s="3" t="n">
        <v>0.00421675801196011</v>
      </c>
      <c r="BS7" s="169"/>
      <c r="BT7" s="169"/>
      <c r="BU7" s="169"/>
      <c r="BV7" s="169"/>
      <c r="BW7" s="169"/>
      <c r="BX7" s="169"/>
      <c r="BY7" s="169"/>
    </row>
    <row r="8" customFormat="false" ht="12.75" hidden="true" customHeight="false" outlineLevel="0" collapsed="false">
      <c r="A8" s="3" t="n">
        <v>1</v>
      </c>
      <c r="B8" s="3" t="n">
        <v>1.3</v>
      </c>
      <c r="C8" s="3" t="s">
        <v>226</v>
      </c>
      <c r="D8" s="3" t="s">
        <v>220</v>
      </c>
      <c r="E8" s="3" t="n">
        <v>0.0521822630369603</v>
      </c>
      <c r="F8" s="3" t="n">
        <v>0.0680657963710086</v>
      </c>
      <c r="G8" s="3" t="n">
        <v>0.107084447857027</v>
      </c>
      <c r="H8" s="3" t="n">
        <v>0.0033116922427505</v>
      </c>
      <c r="I8" s="3" t="n">
        <v>0.00794541545031127</v>
      </c>
      <c r="J8" s="3" t="n">
        <v>0.0168544925128537</v>
      </c>
      <c r="K8" s="3" t="n">
        <v>0.00697152278188351</v>
      </c>
      <c r="L8" s="168" t="n">
        <v>1.31705472871681E-029</v>
      </c>
      <c r="M8" s="3" t="n">
        <v>0.0194719207970953</v>
      </c>
      <c r="N8" s="3" t="n">
        <v>0</v>
      </c>
      <c r="O8" s="3" t="n">
        <v>0.00599134646884121</v>
      </c>
      <c r="P8" s="3" t="n">
        <v>0</v>
      </c>
      <c r="Q8" s="3" t="n">
        <v>0.0174396821188373</v>
      </c>
      <c r="R8" s="168" t="n">
        <v>6.14625540067849E-029</v>
      </c>
      <c r="S8" s="3" t="n">
        <v>0.0062098539710149</v>
      </c>
      <c r="T8" s="3" t="n">
        <v>0</v>
      </c>
      <c r="U8" s="3" t="n">
        <v>0.0206081361739153</v>
      </c>
      <c r="V8" s="3" t="n">
        <v>0</v>
      </c>
      <c r="W8" s="168" t="n">
        <v>4.05056160869647E-007</v>
      </c>
      <c r="X8" s="168" t="n">
        <v>0.000621761987313127</v>
      </c>
      <c r="Y8" s="168" t="n">
        <v>4.49247842318759E-007</v>
      </c>
      <c r="Z8" s="168" t="n">
        <v>0.00032604046854061</v>
      </c>
      <c r="AA8" s="168" t="n">
        <v>4.11426688405746E-007</v>
      </c>
      <c r="AB8" s="168" t="n">
        <v>0.000416865210149983</v>
      </c>
      <c r="AC8" s="3" t="n">
        <v>0.0146184387992752</v>
      </c>
      <c r="AD8" s="3" t="n">
        <v>0.00569215933623367</v>
      </c>
      <c r="AE8" s="3" t="n">
        <v>0.00648991522318831</v>
      </c>
      <c r="AF8" s="3" t="n">
        <v>0.0012491304630437</v>
      </c>
      <c r="AG8" s="168" t="n">
        <v>1.87568829366409E-033</v>
      </c>
      <c r="AH8" s="3" t="n">
        <v>0.00134748005144952</v>
      </c>
      <c r="AI8" s="3" t="n">
        <v>0</v>
      </c>
      <c r="AJ8" s="3" t="n">
        <v>0.00123268184057983</v>
      </c>
      <c r="AK8" s="168" t="n">
        <v>2.10728756594691E-028</v>
      </c>
      <c r="AL8" s="168" t="n">
        <v>2.91352200688397E-006</v>
      </c>
      <c r="AM8" s="168" t="n">
        <v>0.000513676422258217</v>
      </c>
      <c r="AN8" s="168" t="n">
        <v>4.04405616927567E-006</v>
      </c>
      <c r="AO8" s="168" t="n">
        <v>0.000422408749728045</v>
      </c>
      <c r="AP8" s="168" t="n">
        <v>9.90577816340594E-006</v>
      </c>
      <c r="AQ8" s="168" t="n">
        <v>0.000304397378142657</v>
      </c>
      <c r="AR8" s="3" t="n">
        <v>0.00872039582318945</v>
      </c>
      <c r="AS8" s="3" t="n">
        <v>0.0204317776318858</v>
      </c>
      <c r="AT8" s="3" t="n">
        <v>0.0214031923362321</v>
      </c>
      <c r="AU8" s="168" t="n">
        <v>4.10892851441781E-008</v>
      </c>
      <c r="AV8" s="168" t="n">
        <v>1.09321927826254E-007</v>
      </c>
      <c r="AW8" s="168" t="n">
        <v>3.04667056229105E-007</v>
      </c>
      <c r="AX8" s="168" t="n">
        <v>3.78664964881634E-006</v>
      </c>
      <c r="AY8" s="168" t="n">
        <v>9.95024549397678E-006</v>
      </c>
      <c r="AZ8" s="168" t="n">
        <v>2.94293285854583E-005</v>
      </c>
      <c r="BA8" s="168" t="n">
        <v>1.82660700978299E-006</v>
      </c>
      <c r="BB8" s="168" t="n">
        <v>2.22869168166727E-006</v>
      </c>
      <c r="BC8" s="168" t="n">
        <v>1.93759990949141E-006</v>
      </c>
      <c r="BD8" s="168" t="n">
        <v>2.95303419603015E-005</v>
      </c>
      <c r="BE8" s="168" t="n">
        <v>2.51601632886655E-005</v>
      </c>
      <c r="BF8" s="168" t="n">
        <v>1.8636136710301E-005</v>
      </c>
      <c r="BG8" s="3" t="n">
        <v>0.0168286233607946</v>
      </c>
      <c r="BH8" s="3" t="n">
        <v>0.0141704017968199</v>
      </c>
      <c r="BI8" s="3" t="n">
        <v>0.0105015152075746</v>
      </c>
      <c r="BJ8" s="168" t="n">
        <v>9.62040186013906E-007</v>
      </c>
      <c r="BK8" s="168" t="n">
        <v>1.2647300904366E-006</v>
      </c>
      <c r="BL8" s="168" t="n">
        <v>1.00451303842755E-005</v>
      </c>
      <c r="BM8" s="168" t="n">
        <v>1.09082881314089E-006</v>
      </c>
      <c r="BN8" s="168" t="n">
        <v>4.97670824247733E-005</v>
      </c>
      <c r="BO8" s="168" t="n">
        <v>3.3077345166103E-006</v>
      </c>
      <c r="BP8" s="168" t="n">
        <v>0.000509934791662602</v>
      </c>
      <c r="BQ8" s="3" t="n">
        <v>0.0156479933645748</v>
      </c>
      <c r="BR8" s="3" t="n">
        <v>0.00201499402802795</v>
      </c>
      <c r="BS8" s="169"/>
      <c r="BT8" s="169"/>
      <c r="BU8" s="169"/>
      <c r="BV8" s="169"/>
      <c r="BW8" s="169"/>
      <c r="BX8" s="169"/>
      <c r="BY8" s="169"/>
    </row>
    <row r="9" customFormat="false" ht="12.75" hidden="true" customHeight="false" outlineLevel="0" collapsed="false">
      <c r="A9" s="3" t="n">
        <v>1</v>
      </c>
      <c r="B9" s="3" t="n">
        <v>1.3</v>
      </c>
      <c r="C9" s="3" t="s">
        <v>227</v>
      </c>
      <c r="D9" s="3" t="s">
        <v>220</v>
      </c>
      <c r="E9" s="3" t="n">
        <v>0.198609538410894</v>
      </c>
      <c r="F9" s="3" t="n">
        <v>0.144321422190564</v>
      </c>
      <c r="G9" s="3" t="n">
        <v>0.161191623236484</v>
      </c>
      <c r="H9" s="3" t="n">
        <v>0.0128963773449334</v>
      </c>
      <c r="I9" s="3" t="n">
        <v>0.0268024956593932</v>
      </c>
      <c r="J9" s="3" t="n">
        <v>0.0511350130212851</v>
      </c>
      <c r="K9" s="3" t="n">
        <v>0.103316285736238</v>
      </c>
      <c r="L9" s="168" t="n">
        <v>1.48168656980642E-029</v>
      </c>
      <c r="M9" s="3" t="n">
        <v>0.304150068347832</v>
      </c>
      <c r="N9" s="3" t="n">
        <v>0</v>
      </c>
      <c r="O9" s="3" t="n">
        <v>0.104944046636952</v>
      </c>
      <c r="P9" s="3" t="n">
        <v>0</v>
      </c>
      <c r="Q9" s="3" t="n">
        <v>0.335564994388411</v>
      </c>
      <c r="R9" s="168" t="n">
        <v>1.75607297162242E-028</v>
      </c>
      <c r="S9" s="3" t="n">
        <v>0.115199498005792</v>
      </c>
      <c r="T9" s="3" t="n">
        <v>0</v>
      </c>
      <c r="U9" s="3" t="n">
        <v>0.330757851773205</v>
      </c>
      <c r="V9" s="3" t="n">
        <v>0</v>
      </c>
      <c r="W9" s="168" t="n">
        <v>1.18583972753628E-006</v>
      </c>
      <c r="X9" s="3" t="n">
        <v>0.00482508723438026</v>
      </c>
      <c r="Y9" s="168" t="n">
        <v>7.44952252101514E-007</v>
      </c>
      <c r="Z9" s="3" t="n">
        <v>0.00579936803222669</v>
      </c>
      <c r="AA9" s="168" t="n">
        <v>1.027473577971E-006</v>
      </c>
      <c r="AB9" s="3" t="n">
        <v>0.00503928534254877</v>
      </c>
      <c r="AC9" s="3" t="n">
        <v>0.0278373931644909</v>
      </c>
      <c r="AD9" s="3" t="n">
        <v>0.031338260973914</v>
      </c>
      <c r="AE9" s="3" t="n">
        <v>0.0254880190231853</v>
      </c>
      <c r="AF9" s="3" t="n">
        <v>0.0194896220057964</v>
      </c>
      <c r="AG9" s="168" t="n">
        <v>6.69888676308603E-034</v>
      </c>
      <c r="AH9" s="3" t="n">
        <v>0.0212784456862301</v>
      </c>
      <c r="AI9" s="3" t="n">
        <v>0</v>
      </c>
      <c r="AJ9" s="3" t="n">
        <v>0.0213576785557961</v>
      </c>
      <c r="AK9" s="168" t="n">
        <v>2.10728756594691E-028</v>
      </c>
      <c r="AL9" s="168" t="n">
        <v>8.28906758695662E-006</v>
      </c>
      <c r="AM9" s="3" t="n">
        <v>0.00139186444132702</v>
      </c>
      <c r="AN9" s="168" t="n">
        <v>1.6283886067173E-005</v>
      </c>
      <c r="AO9" s="168" t="n">
        <v>0.000867891105507343</v>
      </c>
      <c r="AP9" s="168" t="n">
        <v>1.21887072475362E-005</v>
      </c>
      <c r="AQ9" s="3" t="n">
        <v>0.0010242495580902</v>
      </c>
      <c r="AR9" s="3" t="n">
        <v>0.0191967443826103</v>
      </c>
      <c r="AS9" s="3" t="n">
        <v>0.0332076011101443</v>
      </c>
      <c r="AT9" s="3" t="n">
        <v>0.0189893991297089</v>
      </c>
      <c r="AU9" s="168" t="n">
        <v>1.48000197094767E-008</v>
      </c>
      <c r="AV9" s="168" t="n">
        <v>1.7334138318959E-007</v>
      </c>
      <c r="AW9" s="168" t="n">
        <v>6.8836822536748E-008</v>
      </c>
      <c r="AX9" s="168" t="n">
        <v>1.36391295868417E-006</v>
      </c>
      <c r="AY9" s="168" t="n">
        <v>1.57754701672086E-005</v>
      </c>
      <c r="AZ9" s="168" t="n">
        <v>6.64910990471559E-006</v>
      </c>
      <c r="BA9" s="168" t="n">
        <v>2.02860408630385E-006</v>
      </c>
      <c r="BB9" s="168" t="n">
        <v>2.46036913500079E-006</v>
      </c>
      <c r="BC9" s="168" t="n">
        <v>2.09538831471086E-006</v>
      </c>
      <c r="BD9" s="168" t="n">
        <v>2.29448727381236E-005</v>
      </c>
      <c r="BE9" s="168" t="n">
        <v>2.6446442087505E-005</v>
      </c>
      <c r="BF9" s="168" t="n">
        <v>2.10641694125236E-005</v>
      </c>
      <c r="BG9" s="3" t="n">
        <v>0.0130150388239292</v>
      </c>
      <c r="BH9" s="3" t="n">
        <v>0.0148837072364556</v>
      </c>
      <c r="BI9" s="3" t="n">
        <v>0.0118815199835999</v>
      </c>
      <c r="BJ9" s="168" t="n">
        <v>1.86782290361793E-007</v>
      </c>
      <c r="BK9" s="168" t="n">
        <v>1.16175523449248E-006</v>
      </c>
      <c r="BL9" s="168" t="n">
        <v>3.63971833275139E-006</v>
      </c>
      <c r="BM9" s="168" t="n">
        <v>8.30057298757796E-007</v>
      </c>
      <c r="BN9" s="168" t="n">
        <v>7.9761521796041E-005</v>
      </c>
      <c r="BO9" s="168" t="n">
        <v>2.0416674343542E-006</v>
      </c>
      <c r="BP9" s="168" t="n">
        <v>0.000321369519103541</v>
      </c>
      <c r="BQ9" s="3" t="n">
        <v>0.0252153717785849</v>
      </c>
      <c r="BR9" s="3" t="n">
        <v>0.00106380923360541</v>
      </c>
      <c r="BS9" s="169"/>
      <c r="BT9" s="169"/>
      <c r="BU9" s="169"/>
      <c r="BV9" s="169"/>
      <c r="BW9" s="169"/>
      <c r="BX9" s="169"/>
      <c r="BY9" s="169"/>
    </row>
    <row r="10" customFormat="false" ht="12.75" hidden="true" customHeight="false" outlineLevel="0" collapsed="false">
      <c r="A10" s="3" t="n">
        <v>1</v>
      </c>
      <c r="B10" s="3" t="n">
        <v>1.3</v>
      </c>
      <c r="C10" s="3" t="s">
        <v>228</v>
      </c>
      <c r="D10" s="3" t="s">
        <v>220</v>
      </c>
      <c r="E10" s="3" t="n">
        <v>0.786979215165143</v>
      </c>
      <c r="F10" s="3" t="n">
        <v>0.630152141391336</v>
      </c>
      <c r="G10" s="3" t="n">
        <v>0.0669252688640454</v>
      </c>
      <c r="H10" s="3" t="n">
        <v>0.00968053669564213</v>
      </c>
      <c r="I10" s="3" t="n">
        <v>0.46898728682703</v>
      </c>
      <c r="J10" s="3" t="n">
        <v>0.603708045582653</v>
      </c>
      <c r="K10" s="3" t="n">
        <v>0.0106297688340569</v>
      </c>
      <c r="L10" s="168" t="n">
        <v>1.48168656980642E-029</v>
      </c>
      <c r="M10" s="3" t="n">
        <v>0.0223842265326127</v>
      </c>
      <c r="N10" s="3" t="n">
        <v>0</v>
      </c>
      <c r="O10" s="3" t="n">
        <v>0.00630045450362023</v>
      </c>
      <c r="P10" s="3" t="n">
        <v>0</v>
      </c>
      <c r="Q10" s="3" t="n">
        <v>0.0252511117384077</v>
      </c>
      <c r="R10" s="168" t="n">
        <v>2.10728756594691E-028</v>
      </c>
      <c r="S10" s="3" t="n">
        <v>0.0123503667797116</v>
      </c>
      <c r="T10" s="3" t="n">
        <v>0</v>
      </c>
      <c r="U10" s="3" t="n">
        <v>0.0402152375297089</v>
      </c>
      <c r="V10" s="3" t="n">
        <v>0</v>
      </c>
      <c r="W10" s="168" t="n">
        <v>3.29619822369554E-006</v>
      </c>
      <c r="X10" s="168" t="n">
        <v>0.000740328403688072</v>
      </c>
      <c r="Y10" s="168" t="n">
        <v>5.68586847536178E-007</v>
      </c>
      <c r="Z10" s="3" t="n">
        <v>0.00119234779352082</v>
      </c>
      <c r="AA10" s="168" t="n">
        <v>1.89500946318819E-006</v>
      </c>
      <c r="AB10" s="3" t="n">
        <v>0.00231623802939259</v>
      </c>
      <c r="AC10" s="3" t="n">
        <v>0.158130777703631</v>
      </c>
      <c r="AD10" s="3" t="n">
        <v>0.00741897772101377</v>
      </c>
      <c r="AE10" s="3" t="n">
        <v>0.213914311292745</v>
      </c>
      <c r="AF10" s="3" t="n">
        <v>0.00146106167826121</v>
      </c>
      <c r="AG10" s="168" t="n">
        <v>6.69888676308603E-034</v>
      </c>
      <c r="AH10" s="3" t="n">
        <v>0.00245427536231899</v>
      </c>
      <c r="AI10" s="3" t="n">
        <v>0</v>
      </c>
      <c r="AJ10" s="3" t="n">
        <v>0.00148766951884053</v>
      </c>
      <c r="AK10" s="168" t="n">
        <v>2.10728756594691E-028</v>
      </c>
      <c r="AL10" s="168" t="n">
        <v>2.03633738318846E-006</v>
      </c>
      <c r="AM10" s="3" t="n">
        <v>0.00148806699548215</v>
      </c>
      <c r="AN10" s="168" t="n">
        <v>5.33048032729703E-005</v>
      </c>
      <c r="AO10" s="3" t="n">
        <v>0.00110085781840892</v>
      </c>
      <c r="AP10" s="168" t="n">
        <v>8.42697078253542E-006</v>
      </c>
      <c r="AQ10" s="3" t="n">
        <v>0.00121868148403494</v>
      </c>
      <c r="AR10" s="3" t="n">
        <v>0.0394161515644917</v>
      </c>
      <c r="AS10" s="3" t="n">
        <v>0.431898436069565</v>
      </c>
      <c r="AT10" s="3" t="n">
        <v>0.00947964125144967</v>
      </c>
      <c r="AU10" s="168" t="n">
        <v>9.18456166708952E-009</v>
      </c>
      <c r="AV10" s="168" t="n">
        <v>8.87278625366971E-008</v>
      </c>
      <c r="AW10" s="168" t="n">
        <v>1.13765254493932E-007</v>
      </c>
      <c r="AX10" s="168" t="n">
        <v>8.46406535936121E-007</v>
      </c>
      <c r="AY10" s="168" t="n">
        <v>8.07509932801363E-006</v>
      </c>
      <c r="AZ10" s="168" t="n">
        <v>1.09887199013375E-005</v>
      </c>
      <c r="BA10" s="168" t="n">
        <v>1.71745081130598E-006</v>
      </c>
      <c r="BB10" s="168" t="n">
        <v>2.15036454695534E-006</v>
      </c>
      <c r="BC10" s="168" t="n">
        <v>2.26269554021761E-006</v>
      </c>
      <c r="BD10" s="168" t="n">
        <v>1.20974795654857E-005</v>
      </c>
      <c r="BE10" s="168" t="n">
        <v>1.980237183773E-005</v>
      </c>
      <c r="BF10" s="168" t="n">
        <v>1.80035035449303E-005</v>
      </c>
      <c r="BG10" s="3" t="n">
        <v>0.00681084319959398</v>
      </c>
      <c r="BH10" s="3" t="n">
        <v>0.0111102466466939</v>
      </c>
      <c r="BI10" s="3" t="n">
        <v>0.0101133903884353</v>
      </c>
      <c r="BJ10" s="168" t="n">
        <v>1.55758569905717E-006</v>
      </c>
      <c r="BK10" s="168" t="n">
        <v>9.3174605304548E-007</v>
      </c>
      <c r="BL10" s="168" t="n">
        <v>4.4777722619561E-006</v>
      </c>
      <c r="BM10" s="168" t="n">
        <v>1.25824242666858E-006</v>
      </c>
      <c r="BN10" s="168" t="n">
        <v>2.19828442107328E-005</v>
      </c>
      <c r="BO10" s="168" t="n">
        <v>2.25057377112556E-006</v>
      </c>
      <c r="BP10" s="168" t="n">
        <v>0.00063765259627029</v>
      </c>
      <c r="BQ10" s="3" t="n">
        <v>0.00698467165882346</v>
      </c>
      <c r="BR10" s="3" t="n">
        <v>0.00113916511696015</v>
      </c>
      <c r="BS10" s="169"/>
      <c r="BT10" s="169"/>
      <c r="BU10" s="169"/>
      <c r="BV10" s="169"/>
      <c r="BW10" s="169"/>
      <c r="BX10" s="169"/>
      <c r="BY10" s="169"/>
    </row>
    <row r="11" customFormat="false" ht="12.75" hidden="true" customHeight="false" outlineLevel="0" collapsed="false">
      <c r="A11" s="3" t="n">
        <v>1</v>
      </c>
      <c r="B11" s="3" t="n">
        <v>1.4</v>
      </c>
      <c r="C11" s="3" t="s">
        <v>229</v>
      </c>
      <c r="D11" s="3" t="s">
        <v>220</v>
      </c>
      <c r="E11" s="3" t="n">
        <v>0.845414791000022</v>
      </c>
      <c r="F11" s="3" t="n">
        <v>0.51076440651524</v>
      </c>
      <c r="G11" s="3" t="n">
        <v>0.0999342864740573</v>
      </c>
      <c r="H11" s="3" t="n">
        <v>0.0532726762195662</v>
      </c>
      <c r="I11" s="3" t="n">
        <v>0.249366534377603</v>
      </c>
      <c r="J11" s="3" t="n">
        <v>0.445688685921211</v>
      </c>
      <c r="K11" s="3" t="n">
        <v>0.00855015479347784</v>
      </c>
      <c r="L11" s="168" t="n">
        <v>1.64631841089602E-029</v>
      </c>
      <c r="M11" s="3" t="n">
        <v>0.0229170103884075</v>
      </c>
      <c r="N11" s="3" t="n">
        <v>0</v>
      </c>
      <c r="O11" s="3" t="n">
        <v>0.00806558725144977</v>
      </c>
      <c r="P11" s="3" t="n">
        <v>0</v>
      </c>
      <c r="Q11" s="3" t="n">
        <v>0.0273339882405827</v>
      </c>
      <c r="R11" s="168" t="n">
        <v>2.10728756594691E-028</v>
      </c>
      <c r="S11" s="3" t="n">
        <v>0.0106839312166658</v>
      </c>
      <c r="T11" s="3" t="n">
        <v>0</v>
      </c>
      <c r="U11" s="3" t="n">
        <v>0.0316559003478269</v>
      </c>
      <c r="V11" s="3" t="n">
        <v>0</v>
      </c>
      <c r="W11" s="168" t="n">
        <v>2.53893444840584E-006</v>
      </c>
      <c r="X11" s="168" t="n">
        <v>0.000998690664761964</v>
      </c>
      <c r="Y11" s="168" t="n">
        <v>1.16425253101433E-006</v>
      </c>
      <c r="Z11" s="3" t="n">
        <v>0.00276182946681572</v>
      </c>
      <c r="AA11" s="168" t="n">
        <v>1.26319347797098E-006</v>
      </c>
      <c r="AB11" s="3" t="n">
        <v>0.00379892845535255</v>
      </c>
      <c r="AC11" s="3" t="n">
        <v>0.117516581680451</v>
      </c>
      <c r="AD11" s="3" t="n">
        <v>0.0638545729391271</v>
      </c>
      <c r="AE11" s="3" t="n">
        <v>0.207250222271733</v>
      </c>
      <c r="AF11" s="3" t="n">
        <v>0.00146092823695661</v>
      </c>
      <c r="AG11" s="168" t="n">
        <v>2.14364376418753E-033</v>
      </c>
      <c r="AH11" s="3" t="n">
        <v>0.00210825265434799</v>
      </c>
      <c r="AI11" s="3" t="n">
        <v>0</v>
      </c>
      <c r="AJ11" s="3" t="n">
        <v>0.00186558592173889</v>
      </c>
      <c r="AK11" s="168" t="n">
        <v>2.10728756594691E-028</v>
      </c>
      <c r="AL11" s="168" t="n">
        <v>4.13130636405778E-006</v>
      </c>
      <c r="AM11" s="168" t="n">
        <v>0.000436780659949949</v>
      </c>
      <c r="AN11" s="168" t="n">
        <v>5.01274391181919E-005</v>
      </c>
      <c r="AO11" s="168" t="n">
        <v>0.000651117342955476</v>
      </c>
      <c r="AP11" s="168" t="n">
        <v>1.01343342353629E-005</v>
      </c>
      <c r="AQ11" s="3" t="n">
        <v>0.00173014560885561</v>
      </c>
      <c r="AR11" s="3" t="n">
        <v>0.0622437653731845</v>
      </c>
      <c r="AS11" s="3" t="n">
        <v>0.381440595675365</v>
      </c>
      <c r="AT11" s="3" t="n">
        <v>0.0475204005188476</v>
      </c>
      <c r="AU11" s="168" t="n">
        <v>6.54416364493661E-008</v>
      </c>
      <c r="AV11" s="168" t="n">
        <v>3.67638846085402E-007</v>
      </c>
      <c r="AW11" s="168" t="n">
        <v>1.01951668406455E-007</v>
      </c>
      <c r="AX11" s="168" t="n">
        <v>1.91081872480375E-005</v>
      </c>
      <c r="AY11" s="168" t="n">
        <v>0.000105504636258952</v>
      </c>
      <c r="AZ11" s="168" t="n">
        <v>3.02097711620152E-005</v>
      </c>
      <c r="BA11" s="168" t="n">
        <v>2.21026184434913E-006</v>
      </c>
      <c r="BB11" s="168" t="n">
        <v>2.57911707818808E-006</v>
      </c>
      <c r="BC11" s="168" t="n">
        <v>2.65534330869633E-006</v>
      </c>
      <c r="BD11" s="168" t="n">
        <v>1.65830162644482E-005</v>
      </c>
      <c r="BE11" s="168" t="n">
        <v>2.1570050111018E-005</v>
      </c>
      <c r="BF11" s="168" t="n">
        <v>1.84952003666564E-005</v>
      </c>
      <c r="BG11" s="3" t="n">
        <v>0.00934723266794892</v>
      </c>
      <c r="BH11" s="3" t="n">
        <v>0.0120934835321599</v>
      </c>
      <c r="BI11" s="3" t="n">
        <v>0.0103693199227021</v>
      </c>
      <c r="BJ11" s="168" t="n">
        <v>1.00182871818668E-006</v>
      </c>
      <c r="BK11" s="168" t="n">
        <v>9.79878424276816E-007</v>
      </c>
      <c r="BL11" s="168" t="n">
        <v>1.87339207934522E-006</v>
      </c>
      <c r="BM11" s="168" t="n">
        <v>4.28160213804458E-007</v>
      </c>
      <c r="BN11" s="168" t="n">
        <v>1.85669342082979E-005</v>
      </c>
      <c r="BO11" s="168" t="n">
        <v>3.15272910328624E-006</v>
      </c>
      <c r="BP11" s="168" t="n">
        <v>0.000239169403607024</v>
      </c>
      <c r="BQ11" s="3" t="n">
        <v>0.0056401648787428</v>
      </c>
      <c r="BR11" s="3" t="n">
        <v>0.00107655203632379</v>
      </c>
      <c r="BS11" s="169"/>
      <c r="BT11" s="169"/>
      <c r="BU11" s="169"/>
      <c r="BV11" s="169"/>
      <c r="BW11" s="169"/>
      <c r="BX11" s="169"/>
      <c r="BY11" s="169"/>
    </row>
    <row r="12" customFormat="false" ht="12.75" hidden="true" customHeight="false" outlineLevel="0" collapsed="false">
      <c r="A12" s="3" t="n">
        <v>1</v>
      </c>
      <c r="B12" s="3" t="n">
        <v>1.4</v>
      </c>
      <c r="C12" s="3" t="s">
        <v>230</v>
      </c>
      <c r="D12" s="3" t="s">
        <v>220</v>
      </c>
      <c r="E12" s="3" t="n">
        <v>2.58769053273041</v>
      </c>
      <c r="F12" s="3" t="n">
        <v>2.19563484952382</v>
      </c>
      <c r="G12" s="3" t="n">
        <v>0.0926270885292716</v>
      </c>
      <c r="H12" s="3" t="n">
        <v>0.0192775483065237</v>
      </c>
      <c r="I12" s="3" t="n">
        <v>1.45266805804589</v>
      </c>
      <c r="J12" s="3" t="n">
        <v>1.77287122017744</v>
      </c>
      <c r="K12" s="3" t="n">
        <v>0.0129462595297106</v>
      </c>
      <c r="L12" s="168" t="n">
        <v>1.31705472871681E-029</v>
      </c>
      <c r="M12" s="3" t="n">
        <v>0.0429834500166659</v>
      </c>
      <c r="N12" s="3" t="n">
        <v>0</v>
      </c>
      <c r="O12" s="3" t="n">
        <v>0.0139402073710146</v>
      </c>
      <c r="P12" s="3" t="n">
        <v>0</v>
      </c>
      <c r="Q12" s="3" t="n">
        <v>0.0427385267818762</v>
      </c>
      <c r="R12" s="168" t="n">
        <v>3.51214594324485E-029</v>
      </c>
      <c r="S12" s="3" t="n">
        <v>0.0122052168434796</v>
      </c>
      <c r="T12" s="3" t="n">
        <v>0</v>
      </c>
      <c r="U12" s="3" t="n">
        <v>0.0315531195014526</v>
      </c>
      <c r="V12" s="3" t="n">
        <v>0</v>
      </c>
      <c r="W12" s="168" t="n">
        <v>9.37915369731854E-006</v>
      </c>
      <c r="X12" s="168" t="n">
        <v>0.000895833761112773</v>
      </c>
      <c r="Y12" s="168" t="n">
        <v>1.24470210318852E-006</v>
      </c>
      <c r="Z12" s="3" t="n">
        <v>0.00112771735635393</v>
      </c>
      <c r="AA12" s="168" t="n">
        <v>3.88271508456525E-006</v>
      </c>
      <c r="AB12" s="3" t="n">
        <v>0.00225236624440084</v>
      </c>
      <c r="AC12" s="3" t="n">
        <v>0.347533065007964</v>
      </c>
      <c r="AD12" s="3" t="n">
        <v>0.120866189275368</v>
      </c>
      <c r="AE12" s="3" t="n">
        <v>0.486209072381889</v>
      </c>
      <c r="AF12" s="3" t="n">
        <v>0.00290463712173889</v>
      </c>
      <c r="AG12" s="168" t="n">
        <v>1.74171055840236E-033</v>
      </c>
      <c r="AH12" s="3" t="n">
        <v>0.00213177750434782</v>
      </c>
      <c r="AI12" s="3" t="n">
        <v>0</v>
      </c>
      <c r="AJ12" s="3" t="n">
        <v>0.00287299962608707</v>
      </c>
      <c r="AK12" s="168" t="n">
        <v>2.10728756594691E-028</v>
      </c>
      <c r="AL12" s="168" t="n">
        <v>2.72156442312315E-005</v>
      </c>
      <c r="AM12" s="3" t="n">
        <v>0.00244920551370521</v>
      </c>
      <c r="AN12" s="168" t="n">
        <v>0.000138535487164054</v>
      </c>
      <c r="AO12" s="168" t="n">
        <v>0.000464501505834042</v>
      </c>
      <c r="AP12" s="168" t="n">
        <v>8.47089434405714E-006</v>
      </c>
      <c r="AQ12" s="168" t="n">
        <v>0.000780058634800907</v>
      </c>
      <c r="AR12" s="3" t="n">
        <v>0.0960863588840556</v>
      </c>
      <c r="AS12" s="3" t="n">
        <v>0.95919180448622</v>
      </c>
      <c r="AT12" s="3" t="n">
        <v>0.0510293502231832</v>
      </c>
      <c r="AU12" s="168" t="n">
        <v>8.62335312175045E-007</v>
      </c>
      <c r="AV12" s="168" t="n">
        <v>1.20790766347691E-006</v>
      </c>
      <c r="AW12" s="168" t="n">
        <v>6.11344955804049E-008</v>
      </c>
      <c r="AX12" s="168" t="n">
        <v>0.000251780416113909</v>
      </c>
      <c r="AY12" s="168" t="n">
        <v>0.000346649861691516</v>
      </c>
      <c r="AZ12" s="168" t="n">
        <v>1.81153507225436E-005</v>
      </c>
      <c r="BA12" s="168" t="n">
        <v>2.06343816666785E-006</v>
      </c>
      <c r="BB12" s="168" t="n">
        <v>2.50271317905755E-006</v>
      </c>
      <c r="BC12" s="168" t="n">
        <v>2.82866622369724E-006</v>
      </c>
      <c r="BD12" s="168" t="n">
        <v>1.71795438659723E-005</v>
      </c>
      <c r="BE12" s="168" t="n">
        <v>1.91065024181065E-005</v>
      </c>
      <c r="BF12" s="168" t="n">
        <v>1.3032326060914E-005</v>
      </c>
      <c r="BG12" s="3" t="n">
        <v>0.00970658530794837</v>
      </c>
      <c r="BH12" s="3" t="n">
        <v>0.0106948893633864</v>
      </c>
      <c r="BI12" s="3" t="n">
        <v>0.00724445288582602</v>
      </c>
      <c r="BJ12" s="168" t="n">
        <v>3.30771142601315E-006</v>
      </c>
      <c r="BK12" s="168" t="n">
        <v>2.33862557847638E-006</v>
      </c>
      <c r="BL12" s="168" t="n">
        <v>4.28731475797102E-006</v>
      </c>
      <c r="BM12" s="168" t="n">
        <v>5.01535735358964E-007</v>
      </c>
      <c r="BN12" s="168" t="n">
        <v>3.24696160982077E-005</v>
      </c>
      <c r="BO12" s="168" t="n">
        <v>4.75821355034863E-006</v>
      </c>
      <c r="BP12" s="168" t="n">
        <v>0.0003811683763494</v>
      </c>
      <c r="BQ12" s="3" t="n">
        <v>0.00969014009862208</v>
      </c>
      <c r="BR12" s="3" t="n">
        <v>0.00222054537363995</v>
      </c>
      <c r="BS12" s="169"/>
      <c r="BT12" s="169"/>
      <c r="BU12" s="169"/>
      <c r="BV12" s="169"/>
      <c r="BW12" s="169"/>
      <c r="BX12" s="169"/>
      <c r="BY12" s="169"/>
    </row>
    <row r="13" customFormat="false" ht="12.75" hidden="true" customHeight="false" outlineLevel="0" collapsed="false">
      <c r="A13" s="3" t="n">
        <v>1</v>
      </c>
      <c r="B13" s="3" t="n">
        <v>1.4</v>
      </c>
      <c r="C13" s="3" t="s">
        <v>231</v>
      </c>
      <c r="D13" s="3" t="s">
        <v>220</v>
      </c>
      <c r="E13" s="3" t="n">
        <v>0.162530420217426</v>
      </c>
      <c r="F13" s="3" t="n">
        <v>0.169239893136224</v>
      </c>
      <c r="G13" s="3" t="n">
        <v>0.0313150770189903</v>
      </c>
      <c r="H13" s="3" t="n">
        <v>0.0106781522405796</v>
      </c>
      <c r="I13" s="3" t="n">
        <v>0.272530324573075</v>
      </c>
      <c r="J13" s="3" t="n">
        <v>0.237813891845112</v>
      </c>
      <c r="K13" s="3" t="n">
        <v>0.0123266022775367</v>
      </c>
      <c r="L13" s="168" t="n">
        <v>2.19509121452803E-029</v>
      </c>
      <c r="M13" s="3" t="n">
        <v>0.0428890446949312</v>
      </c>
      <c r="N13" s="3" t="n">
        <v>0</v>
      </c>
      <c r="O13" s="3" t="n">
        <v>0.0138342502427533</v>
      </c>
      <c r="P13" s="3" t="n">
        <v>0</v>
      </c>
      <c r="Q13" s="3" t="n">
        <v>0.0385198543391334</v>
      </c>
      <c r="R13" s="168" t="n">
        <v>1.05364378297345E-028</v>
      </c>
      <c r="S13" s="3" t="n">
        <v>0.0139994055304341</v>
      </c>
      <c r="T13" s="3" t="n">
        <v>0</v>
      </c>
      <c r="U13" s="3" t="n">
        <v>0.0390907116166649</v>
      </c>
      <c r="V13" s="3" t="n">
        <v>0</v>
      </c>
      <c r="W13" s="168" t="n">
        <v>2.66656181384054E-006</v>
      </c>
      <c r="X13" s="3" t="n">
        <v>0.00223183871693383</v>
      </c>
      <c r="Y13" s="168" t="n">
        <v>1.83190450079719E-006</v>
      </c>
      <c r="Z13" s="168" t="n">
        <v>0.000569944458959095</v>
      </c>
      <c r="AA13" s="168" t="n">
        <v>3.70862468340573E-006</v>
      </c>
      <c r="AB13" s="168" t="n">
        <v>0.00045862931409064</v>
      </c>
      <c r="AC13" s="3" t="n">
        <v>0.0789769389101418</v>
      </c>
      <c r="AD13" s="3" t="n">
        <v>0.0454656202086985</v>
      </c>
      <c r="AE13" s="3" t="n">
        <v>0.0920185670231835</v>
      </c>
      <c r="AF13" s="3" t="n">
        <v>0.00285866156449287</v>
      </c>
      <c r="AG13" s="168" t="n">
        <v>3.21546564628129E-033</v>
      </c>
      <c r="AH13" s="3" t="n">
        <v>0.00247386601086964</v>
      </c>
      <c r="AI13" s="3" t="n">
        <v>0</v>
      </c>
      <c r="AJ13" s="3" t="n">
        <v>0.00237583775579741</v>
      </c>
      <c r="AK13" s="168" t="n">
        <v>2.10728756594691E-028</v>
      </c>
      <c r="AL13" s="168" t="n">
        <v>2.10289778729709E-005</v>
      </c>
      <c r="AM13" s="168" t="n">
        <v>0.000453788832949602</v>
      </c>
      <c r="AN13" s="168" t="n">
        <v>9.06024709739091E-005</v>
      </c>
      <c r="AO13" s="168" t="n">
        <v>0.000157299058204706</v>
      </c>
      <c r="AP13" s="168" t="n">
        <v>1.61184760486961E-005</v>
      </c>
      <c r="AQ13" s="168" t="n">
        <v>0.00050523376840266</v>
      </c>
      <c r="AR13" s="3" t="n">
        <v>0.0906025871239163</v>
      </c>
      <c r="AS13" s="3" t="n">
        <v>0.504673839292768</v>
      </c>
      <c r="AT13" s="3" t="n">
        <v>0.00446024017319075</v>
      </c>
      <c r="AU13" s="168" t="n">
        <v>8.13773101452376E-009</v>
      </c>
      <c r="AV13" s="168" t="n">
        <v>4.50930671304406E-007</v>
      </c>
      <c r="AW13" s="168" t="n">
        <v>8.21714660160808E-008</v>
      </c>
      <c r="AX13" s="168" t="n">
        <v>2.37613522668361E-006</v>
      </c>
      <c r="AY13" s="168" t="n">
        <v>0.000129406088292198</v>
      </c>
      <c r="AZ13" s="168" t="n">
        <v>2.43506788925262E-005</v>
      </c>
      <c r="BA13" s="168" t="n">
        <v>2.03731865130628E-006</v>
      </c>
      <c r="BB13" s="168" t="n">
        <v>2.44545447536191E-006</v>
      </c>
      <c r="BC13" s="168" t="n">
        <v>2.81913103123129E-006</v>
      </c>
      <c r="BD13" s="168" t="n">
        <v>2.43035888665182E-005</v>
      </c>
      <c r="BE13" s="168" t="n">
        <v>1.9075228855812E-005</v>
      </c>
      <c r="BF13" s="168" t="n">
        <v>1.39357030987971E-005</v>
      </c>
      <c r="BG13" s="3" t="n">
        <v>0.0137908383113777</v>
      </c>
      <c r="BH13" s="3" t="n">
        <v>0.0106745476800899</v>
      </c>
      <c r="BI13" s="3" t="n">
        <v>0.00776008044787871</v>
      </c>
      <c r="BJ13" s="168" t="n">
        <v>3.56935097151962E-006</v>
      </c>
      <c r="BK13" s="168" t="n">
        <v>1.18472180869735E-007</v>
      </c>
      <c r="BL13" s="168" t="n">
        <v>2.16251875826099E-006</v>
      </c>
      <c r="BM13" s="168" t="n">
        <v>4.26199628353562E-007</v>
      </c>
      <c r="BN13" s="168" t="n">
        <v>4.06803682763737E-005</v>
      </c>
      <c r="BO13" s="168" t="n">
        <v>3.20996973077928E-006</v>
      </c>
      <c r="BP13" s="168" t="n">
        <v>0.000319946202077504</v>
      </c>
      <c r="BQ13" s="3" t="n">
        <v>0.0134390385718957</v>
      </c>
      <c r="BR13" s="3" t="n">
        <v>0.0014160558358837</v>
      </c>
      <c r="BS13" s="169"/>
      <c r="BT13" s="169"/>
      <c r="BU13" s="169"/>
      <c r="BV13" s="169"/>
      <c r="BW13" s="169"/>
      <c r="BX13" s="169"/>
      <c r="BY13" s="169"/>
    </row>
    <row r="14" customFormat="false" ht="12.75" hidden="true" customHeight="false" outlineLevel="0" collapsed="false">
      <c r="A14" s="3" t="n">
        <v>2</v>
      </c>
      <c r="B14" s="3" t="n">
        <v>2.1</v>
      </c>
      <c r="C14" s="3" t="s">
        <v>232</v>
      </c>
      <c r="D14" s="3" t="s">
        <v>220</v>
      </c>
      <c r="E14" s="3" t="n">
        <v>0.00332644146666645</v>
      </c>
      <c r="F14" s="3" t="n">
        <v>0.00138458208836863</v>
      </c>
      <c r="G14" s="168" t="n">
        <v>6.57877867243702E-005</v>
      </c>
      <c r="H14" s="3" t="n">
        <v>0.00173998589301781</v>
      </c>
      <c r="I14" s="3" t="n">
        <v>0.00161007425601541</v>
      </c>
      <c r="J14" s="3" t="n">
        <v>0.00350369105118587</v>
      </c>
      <c r="K14" s="3" t="n">
        <v>0.0170413572492771</v>
      </c>
      <c r="L14" s="168" t="n">
        <v>2.19509121452803E-029</v>
      </c>
      <c r="M14" s="3" t="n">
        <v>0.0323821448695693</v>
      </c>
      <c r="N14" s="3" t="n">
        <v>0</v>
      </c>
      <c r="O14" s="3" t="n">
        <v>0.00972733847826086</v>
      </c>
      <c r="P14" s="3" t="n">
        <v>0</v>
      </c>
      <c r="Q14" s="3" t="n">
        <v>0.0254863909797094</v>
      </c>
      <c r="R14" s="168" t="n">
        <v>2.10728756594691E-028</v>
      </c>
      <c r="S14" s="3" t="n">
        <v>0.00892893245145022</v>
      </c>
      <c r="T14" s="3" t="n">
        <v>0</v>
      </c>
      <c r="U14" s="3" t="n">
        <v>0.0492528056579768</v>
      </c>
      <c r="V14" s="3" t="n">
        <v>0</v>
      </c>
      <c r="W14" s="168" t="n">
        <v>1.26027622501446E-007</v>
      </c>
      <c r="X14" s="168" t="n">
        <v>0.000143548342376156</v>
      </c>
      <c r="Y14" s="168" t="n">
        <v>1.29129179877532E-007</v>
      </c>
      <c r="Z14" s="3" t="n">
        <v>0.00120949380653822</v>
      </c>
      <c r="AA14" s="168" t="n">
        <v>6.51198447652167E-008</v>
      </c>
      <c r="AB14" s="168" t="n">
        <v>0.000486607245444256</v>
      </c>
      <c r="AC14" s="3" t="n">
        <v>0.00124906803210864</v>
      </c>
      <c r="AD14" s="168" t="n">
        <v>0.000913253752318765</v>
      </c>
      <c r="AE14" s="168" t="n">
        <v>0.000288428255586952</v>
      </c>
      <c r="AF14" s="3" t="n">
        <v>0.00205676220000009</v>
      </c>
      <c r="AG14" s="168" t="n">
        <v>4.70197740328915E-038</v>
      </c>
      <c r="AH14" s="3" t="n">
        <v>0.00313165001449254</v>
      </c>
      <c r="AI14" s="3" t="n">
        <v>0</v>
      </c>
      <c r="AJ14" s="3" t="n">
        <v>0.00160058295362305</v>
      </c>
      <c r="AK14" s="168" t="n">
        <v>2.10728756594691E-028</v>
      </c>
      <c r="AL14" s="168" t="n">
        <v>5.02626212101495E-009</v>
      </c>
      <c r="AM14" s="168" t="n">
        <v>0.000407506234501542</v>
      </c>
      <c r="AN14" s="168" t="n">
        <v>4.07044942895643E-007</v>
      </c>
      <c r="AO14" s="3" t="n">
        <v>0.00497786810673161</v>
      </c>
      <c r="AP14" s="168" t="n">
        <v>4.5434698136739E-007</v>
      </c>
      <c r="AQ14" s="3" t="n">
        <v>0.00172625541832984</v>
      </c>
      <c r="AR14" s="168" t="n">
        <v>4.62724135652242E-005</v>
      </c>
      <c r="AS14" s="168" t="n">
        <v>0.000236621049690435</v>
      </c>
      <c r="AT14" s="168" t="n">
        <v>0.000364537282434774</v>
      </c>
      <c r="AU14" s="168" t="n">
        <v>8.99452862357129E-009</v>
      </c>
      <c r="AV14" s="168" t="n">
        <v>2.49282416666448E-008</v>
      </c>
      <c r="AW14" s="168" t="n">
        <v>2.24443049280068E-008</v>
      </c>
      <c r="AX14" s="168" t="n">
        <v>1.03158880539503E-042</v>
      </c>
      <c r="AY14" s="168" t="n">
        <v>2.90200709983175E-042</v>
      </c>
      <c r="AZ14" s="168" t="n">
        <v>2.5742069076427E-042</v>
      </c>
      <c r="BA14" s="168" t="n">
        <v>3.34632514783017E-007</v>
      </c>
      <c r="BB14" s="168" t="n">
        <v>2.3898608318845E-007</v>
      </c>
      <c r="BC14" s="168" t="n">
        <v>6.2747605188365E-007</v>
      </c>
      <c r="BD14" s="168" t="n">
        <v>3.55698941609204E-008</v>
      </c>
      <c r="BE14" s="168" t="n">
        <v>3.23753463302466E-008</v>
      </c>
      <c r="BF14" s="168" t="n">
        <v>2.94701221905984E-008</v>
      </c>
      <c r="BG14" s="168" t="n">
        <v>2.09101647391741E-005</v>
      </c>
      <c r="BH14" s="168" t="n">
        <v>1.8958831028339E-005</v>
      </c>
      <c r="BI14" s="168" t="n">
        <v>1.73682477463357E-005</v>
      </c>
      <c r="BJ14" s="168" t="n">
        <v>7.79874144917775E-008</v>
      </c>
      <c r="BK14" s="168" t="n">
        <v>3.94693052174127E-008</v>
      </c>
      <c r="BL14" s="168" t="n">
        <v>2.38713275366047E-009</v>
      </c>
      <c r="BM14" s="168" t="n">
        <v>6.83140667095967E-009</v>
      </c>
      <c r="BN14" s="168" t="n">
        <v>5.91541883697412E-009</v>
      </c>
      <c r="BO14" s="168" t="n">
        <v>3.07268360112326E-008</v>
      </c>
      <c r="BP14" s="168" t="n">
        <v>2.45802851814304E-006</v>
      </c>
      <c r="BQ14" s="168" t="n">
        <v>2.04810021564663E-006</v>
      </c>
      <c r="BR14" s="168" t="n">
        <v>1.07472892964736E-005</v>
      </c>
      <c r="BS14" s="169"/>
      <c r="BT14" s="169"/>
      <c r="BU14" s="169"/>
      <c r="BV14" s="169"/>
      <c r="BW14" s="169"/>
      <c r="BX14" s="169"/>
      <c r="BY14" s="169"/>
    </row>
    <row r="15" customFormat="false" ht="12.75" hidden="true" customHeight="false" outlineLevel="0" collapsed="false">
      <c r="A15" s="3" t="n">
        <v>2</v>
      </c>
      <c r="B15" s="3" t="n">
        <v>2.1</v>
      </c>
      <c r="C15" s="3" t="s">
        <v>233</v>
      </c>
      <c r="D15" s="3" t="s">
        <v>220</v>
      </c>
      <c r="E15" s="3" t="n">
        <v>0.00179734556584776</v>
      </c>
      <c r="F15" s="168" t="n">
        <v>0.000442045897646915</v>
      </c>
      <c r="G15" s="168" t="n">
        <v>0.000106503561512746</v>
      </c>
      <c r="H15" s="3" t="n">
        <v>0.0013064188751684</v>
      </c>
      <c r="I15" s="168" t="n">
        <v>0.00053631725918843</v>
      </c>
      <c r="J15" s="3" t="n">
        <v>0.00211730134851736</v>
      </c>
      <c r="K15" s="3" t="n">
        <v>0.0114279393210147</v>
      </c>
      <c r="L15" s="168" t="n">
        <v>1.75607297162242E-029</v>
      </c>
      <c r="M15" s="3" t="n">
        <v>0.0265434828492739</v>
      </c>
      <c r="N15" s="3" t="n">
        <v>0</v>
      </c>
      <c r="O15" s="3" t="n">
        <v>0.00918086051014472</v>
      </c>
      <c r="P15" s="3" t="n">
        <v>0</v>
      </c>
      <c r="Q15" s="3" t="n">
        <v>0.0315167018057964</v>
      </c>
      <c r="R15" s="168" t="n">
        <v>7.90232837230091E-029</v>
      </c>
      <c r="S15" s="3" t="n">
        <v>0.00981701874710039</v>
      </c>
      <c r="T15" s="3" t="n">
        <v>0</v>
      </c>
      <c r="U15" s="3" t="n">
        <v>0.0332197048862322</v>
      </c>
      <c r="V15" s="3" t="n">
        <v>0</v>
      </c>
      <c r="W15" s="168" t="n">
        <v>1.1579002416232E-007</v>
      </c>
      <c r="X15" s="168" t="n">
        <v>0.000332847848706978</v>
      </c>
      <c r="Y15" s="168" t="n">
        <v>1.26630442799271E-007</v>
      </c>
      <c r="Z15" s="3" t="n">
        <v>0.00105134100759026</v>
      </c>
      <c r="AA15" s="168" t="n">
        <v>8.9328003077532E-008</v>
      </c>
      <c r="AB15" s="168" t="n">
        <v>0.00045718591499034</v>
      </c>
      <c r="AC15" s="168" t="n">
        <v>0.000805078866079688</v>
      </c>
      <c r="AD15" s="168" t="n">
        <v>0.000764178054253605</v>
      </c>
      <c r="AE15" s="168" t="n">
        <v>0.000120752414601448</v>
      </c>
      <c r="AF15" s="3" t="n">
        <v>0.00166153439927535</v>
      </c>
      <c r="AG15" s="168" t="n">
        <v>2.24877180157307E-038</v>
      </c>
      <c r="AH15" s="3" t="n">
        <v>0.0020904795992755</v>
      </c>
      <c r="AI15" s="168" t="n">
        <v>3.51214594324485E-029</v>
      </c>
      <c r="AJ15" s="3" t="n">
        <v>0.00198539963405801</v>
      </c>
      <c r="AK15" s="168" t="n">
        <v>1.40485837729794E-028</v>
      </c>
      <c r="AL15" s="168" t="n">
        <v>5.48950810144789E-009</v>
      </c>
      <c r="AM15" s="168" t="n">
        <v>0.000478887693670949</v>
      </c>
      <c r="AN15" s="168" t="n">
        <v>4.76857522253634E-008</v>
      </c>
      <c r="AO15" s="168" t="n">
        <v>0.000972925740914644</v>
      </c>
      <c r="AP15" s="168" t="n">
        <v>7.57528951818831E-008</v>
      </c>
      <c r="AQ15" s="168" t="n">
        <v>0.000277038317612731</v>
      </c>
      <c r="AR15" s="168" t="n">
        <v>0.000111474876608687</v>
      </c>
      <c r="AS15" s="168" t="n">
        <v>5.30945878555821E-005</v>
      </c>
      <c r="AT15" s="168" t="n">
        <v>0.000126205245557981</v>
      </c>
      <c r="AU15" s="168" t="n">
        <v>5.11458318848925E-009</v>
      </c>
      <c r="AV15" s="168" t="n">
        <v>1.28224379708665E-008</v>
      </c>
      <c r="AW15" s="168" t="n">
        <v>1.16211264927382E-007</v>
      </c>
      <c r="AX15" s="168" t="n">
        <v>5.86595383151371E-043</v>
      </c>
      <c r="AY15" s="168" t="n">
        <v>1.49268338888578E-042</v>
      </c>
      <c r="AZ15" s="168" t="n">
        <v>1.33283057628058E-041</v>
      </c>
      <c r="BA15" s="168" t="n">
        <v>2.47915714782752E-007</v>
      </c>
      <c r="BB15" s="168" t="n">
        <v>1.71150987174279E-007</v>
      </c>
      <c r="BC15" s="168" t="n">
        <v>4.67706319347303E-007</v>
      </c>
      <c r="BD15" s="168" t="n">
        <v>4.14540926437009E-008</v>
      </c>
      <c r="BE15" s="168" t="n">
        <v>4.85444229075133E-008</v>
      </c>
      <c r="BF15" s="168" t="n">
        <v>2.53728104962164E-008</v>
      </c>
      <c r="BG15" s="168" t="n">
        <v>2.43301955529828E-005</v>
      </c>
      <c r="BH15" s="168" t="n">
        <v>2.83998592949881E-005</v>
      </c>
      <c r="BI15" s="168" t="n">
        <v>1.48954971708426E-005</v>
      </c>
      <c r="BJ15" s="168" t="n">
        <v>5.90156607969286E-008</v>
      </c>
      <c r="BK15" s="168" t="n">
        <v>2.76740136231365E-008</v>
      </c>
      <c r="BL15" s="168" t="n">
        <v>6.67227130435004E-009</v>
      </c>
      <c r="BM15" s="168" t="n">
        <v>4.21667282797451E-009</v>
      </c>
      <c r="BN15" s="168" t="n">
        <v>1.17525055696715E-008</v>
      </c>
      <c r="BO15" s="168" t="n">
        <v>1.29344285206904E-008</v>
      </c>
      <c r="BP15" s="168" t="n">
        <v>1.5176618004587E-006</v>
      </c>
      <c r="BQ15" s="168" t="n">
        <v>4.06660743574798E-006</v>
      </c>
      <c r="BR15" s="168" t="n">
        <v>4.52453974973486E-006</v>
      </c>
      <c r="BS15" s="169"/>
      <c r="BT15" s="169"/>
      <c r="BU15" s="169"/>
      <c r="BV15" s="169"/>
      <c r="BW15" s="169"/>
      <c r="BX15" s="169"/>
      <c r="BY15" s="169"/>
    </row>
    <row r="16" customFormat="false" ht="12.75" hidden="true" customHeight="false" outlineLevel="0" collapsed="false">
      <c r="A16" s="3" t="n">
        <v>2</v>
      </c>
      <c r="B16" s="3" t="n">
        <v>2.1</v>
      </c>
      <c r="C16" s="3" t="s">
        <v>234</v>
      </c>
      <c r="D16" s="3" t="s">
        <v>220</v>
      </c>
      <c r="E16" s="3" t="n">
        <v>0.00196598077077529</v>
      </c>
      <c r="F16" s="168" t="n">
        <v>0.000494768776836443</v>
      </c>
      <c r="G16" s="168" t="n">
        <v>5.28379304149648E-005</v>
      </c>
      <c r="H16" s="3" t="n">
        <v>0.00113732907952336</v>
      </c>
      <c r="I16" s="168" t="n">
        <v>0.000554350816107591</v>
      </c>
      <c r="J16" s="3" t="n">
        <v>0.00193424753278924</v>
      </c>
      <c r="K16" s="3" t="n">
        <v>0.00744118150652045</v>
      </c>
      <c r="L16" s="168" t="n">
        <v>1.31705472871681E-029</v>
      </c>
      <c r="M16" s="3" t="n">
        <v>0.024000137576091</v>
      </c>
      <c r="N16" s="3" t="n">
        <v>0</v>
      </c>
      <c r="O16" s="3" t="n">
        <v>0.00818257358840539</v>
      </c>
      <c r="P16" s="168" t="n">
        <v>3.51214594324485E-029</v>
      </c>
      <c r="Q16" s="3" t="n">
        <v>0.0231907044630414</v>
      </c>
      <c r="R16" s="168" t="n">
        <v>2.10728756594691E-028</v>
      </c>
      <c r="S16" s="3" t="n">
        <v>0.00639635470144878</v>
      </c>
      <c r="T16" s="3" t="n">
        <v>0</v>
      </c>
      <c r="U16" s="3" t="n">
        <v>0.0188745927644952</v>
      </c>
      <c r="V16" s="3" t="n">
        <v>0</v>
      </c>
      <c r="W16" s="168" t="n">
        <v>1.37829522223186E-007</v>
      </c>
      <c r="X16" s="168" t="n">
        <v>0.000152718101364495</v>
      </c>
      <c r="Y16" s="168" t="n">
        <v>1.37904627730427E-007</v>
      </c>
      <c r="Z16" s="3" t="n">
        <v>0.001058370376974</v>
      </c>
      <c r="AA16" s="168" t="n">
        <v>8.28376493652231E-008</v>
      </c>
      <c r="AB16" s="168" t="n">
        <v>0.000364012091677046</v>
      </c>
      <c r="AC16" s="3" t="n">
        <v>0.00103131964136229</v>
      </c>
      <c r="AD16" s="168" t="n">
        <v>0.000429553660282586</v>
      </c>
      <c r="AE16" s="168" t="n">
        <v>0.000115155655391327</v>
      </c>
      <c r="AF16" s="3" t="n">
        <v>0.00151154268695643</v>
      </c>
      <c r="AG16" s="168" t="n">
        <v>8.17735200572026E-039</v>
      </c>
      <c r="AH16" s="3" t="n">
        <v>0.00119029173043475</v>
      </c>
      <c r="AI16" s="3" t="n">
        <v>0</v>
      </c>
      <c r="AJ16" s="3" t="n">
        <v>0.00146239404057969</v>
      </c>
      <c r="AK16" s="168" t="n">
        <v>1.75607297162242E-029</v>
      </c>
      <c r="AL16" s="168" t="n">
        <v>7.06091016521763E-009</v>
      </c>
      <c r="AM16" s="168" t="n">
        <v>0.000339725779165385</v>
      </c>
      <c r="AN16" s="168" t="n">
        <v>2.95184538292753E-007</v>
      </c>
      <c r="AO16" s="3" t="n">
        <v>0.00579942173806131</v>
      </c>
      <c r="AP16" s="168" t="n">
        <v>2.73095117631883E-007</v>
      </c>
      <c r="AQ16" s="3" t="n">
        <v>0.00105835130371941</v>
      </c>
      <c r="AR16" s="168" t="n">
        <v>3.3591699644921E-005</v>
      </c>
      <c r="AS16" s="168" t="n">
        <v>8.53958014915213E-005</v>
      </c>
      <c r="AT16" s="168" t="n">
        <v>0.000165193341673911</v>
      </c>
      <c r="AU16" s="168" t="n">
        <v>5.49265014479513E-009</v>
      </c>
      <c r="AV16" s="168" t="n">
        <v>6.4504482521628E-007</v>
      </c>
      <c r="AW16" s="168" t="n">
        <v>1.45123373189806E-008</v>
      </c>
      <c r="AX16" s="168" t="n">
        <v>6.29960981621468E-043</v>
      </c>
      <c r="AY16" s="168" t="n">
        <v>7.50944612006115E-041</v>
      </c>
      <c r="AZ16" s="168" t="n">
        <v>1.66434999324878E-042</v>
      </c>
      <c r="BA16" s="168" t="n">
        <v>4.12771355797898E-008</v>
      </c>
      <c r="BB16" s="168" t="n">
        <v>1.33356588696176E-007</v>
      </c>
      <c r="BC16" s="168" t="n">
        <v>2.65228718840039E-007</v>
      </c>
      <c r="BD16" s="168" t="n">
        <v>1.81429867100646E-008</v>
      </c>
      <c r="BE16" s="168" t="n">
        <v>3.21938409235113E-008</v>
      </c>
      <c r="BF16" s="168" t="n">
        <v>1.87575158372933E-008</v>
      </c>
      <c r="BG16" s="168" t="n">
        <v>1.06726676200421E-005</v>
      </c>
      <c r="BH16" s="168" t="n">
        <v>1.88701664664587E-005</v>
      </c>
      <c r="BI16" s="168" t="n">
        <v>1.09451979688882E-005</v>
      </c>
      <c r="BJ16" s="168" t="n">
        <v>3.97839649272968E-008</v>
      </c>
      <c r="BK16" s="168" t="n">
        <v>2.33445588406796E-008</v>
      </c>
      <c r="BL16" s="168" t="n">
        <v>9.461714710194E-009</v>
      </c>
      <c r="BM16" s="168" t="n">
        <v>9.4219052953179E-009</v>
      </c>
      <c r="BN16" s="168" t="n">
        <v>5.37041976494727E-009</v>
      </c>
      <c r="BO16" s="168" t="n">
        <v>1.07101950803132E-008</v>
      </c>
      <c r="BP16" s="168" t="n">
        <v>3.39211734463432E-006</v>
      </c>
      <c r="BQ16" s="168" t="n">
        <v>1.85877651011612E-006</v>
      </c>
      <c r="BR16" s="168" t="n">
        <v>3.74605625499818E-006</v>
      </c>
      <c r="BS16" s="169"/>
      <c r="BT16" s="169"/>
      <c r="BU16" s="169"/>
      <c r="BV16" s="169"/>
      <c r="BW16" s="169"/>
      <c r="BX16" s="169"/>
      <c r="BY16" s="169"/>
    </row>
    <row r="17" customFormat="false" ht="12.75" hidden="true" customHeight="false" outlineLevel="0" collapsed="false">
      <c r="A17" s="3" t="n">
        <v>2</v>
      </c>
      <c r="B17" s="3" t="n">
        <v>2.2</v>
      </c>
      <c r="C17" s="3" t="s">
        <v>235</v>
      </c>
      <c r="D17" s="3" t="s">
        <v>220</v>
      </c>
      <c r="E17" s="3" t="n">
        <v>0.31426569860802</v>
      </c>
      <c r="F17" s="3" t="n">
        <v>0.122232837171012</v>
      </c>
      <c r="G17" s="3" t="n">
        <v>0.468883994633115</v>
      </c>
      <c r="H17" s="3" t="n">
        <v>0.0575108360688561</v>
      </c>
      <c r="I17" s="3" t="n">
        <v>1.04563582144527</v>
      </c>
      <c r="J17" s="3" t="n">
        <v>1.50097540394181</v>
      </c>
      <c r="K17" s="3" t="n">
        <v>0.0238637830144885</v>
      </c>
      <c r="L17" s="168" t="n">
        <v>1.31705472871681E-029</v>
      </c>
      <c r="M17" s="3" t="n">
        <v>0.0693918323760785</v>
      </c>
      <c r="N17" s="3" t="n">
        <v>0</v>
      </c>
      <c r="O17" s="3" t="n">
        <v>0.0267539972057976</v>
      </c>
      <c r="P17" s="3" t="n">
        <v>0</v>
      </c>
      <c r="Q17" s="3" t="n">
        <v>0.0951951981210195</v>
      </c>
      <c r="R17" s="168" t="n">
        <v>2.10728756594691E-028</v>
      </c>
      <c r="S17" s="3" t="n">
        <v>0.0323672651014495</v>
      </c>
      <c r="T17" s="3" t="n">
        <v>0</v>
      </c>
      <c r="U17" s="3" t="n">
        <v>0.0844023863739204</v>
      </c>
      <c r="V17" s="3" t="n">
        <v>0</v>
      </c>
      <c r="W17" s="168" t="n">
        <v>1.65537285884058E-006</v>
      </c>
      <c r="X17" s="168" t="n">
        <v>0.000164044914783604</v>
      </c>
      <c r="Y17" s="168" t="n">
        <v>7.2576452266668E-006</v>
      </c>
      <c r="Z17" s="168" t="n">
        <v>0.00035120489469275</v>
      </c>
      <c r="AA17" s="168" t="n">
        <v>8.02072443710156E-006</v>
      </c>
      <c r="AB17" s="168" t="n">
        <v>0.000614767254290803</v>
      </c>
      <c r="AC17" s="3" t="n">
        <v>0.0226711491362311</v>
      </c>
      <c r="AD17" s="3" t="n">
        <v>0.0391034822543439</v>
      </c>
      <c r="AE17" s="3" t="n">
        <v>0.101893613588403</v>
      </c>
      <c r="AF17" s="3" t="n">
        <v>0.00428118403405826</v>
      </c>
      <c r="AG17" s="168" t="n">
        <v>4.42126526363678E-033</v>
      </c>
      <c r="AH17" s="3" t="n">
        <v>0.00522659308695629</v>
      </c>
      <c r="AI17" s="3" t="n">
        <v>0</v>
      </c>
      <c r="AJ17" s="3" t="n">
        <v>0.00788036719927536</v>
      </c>
      <c r="AK17" s="168" t="n">
        <v>1.75607297162242E-028</v>
      </c>
      <c r="AL17" s="168" t="n">
        <v>1.38067829286233E-005</v>
      </c>
      <c r="AM17" s="3" t="n">
        <v>0.00327772991547593</v>
      </c>
      <c r="AN17" s="168" t="n">
        <v>7.41008231297073E-006</v>
      </c>
      <c r="AO17" s="3" t="n">
        <v>0.00390362821295914</v>
      </c>
      <c r="AP17" s="168" t="n">
        <v>0.000136801142093623</v>
      </c>
      <c r="AQ17" s="168" t="n">
        <v>0.00064877160788827</v>
      </c>
      <c r="AR17" s="3" t="n">
        <v>0.0652064105739146</v>
      </c>
      <c r="AS17" s="3" t="n">
        <v>0.0211017517101443</v>
      </c>
      <c r="AT17" s="3" t="n">
        <v>0.0654356436753563</v>
      </c>
      <c r="AU17" s="168" t="n">
        <v>5.81282949266645E-009</v>
      </c>
      <c r="AV17" s="168" t="n">
        <v>2.67349157971879E-007</v>
      </c>
      <c r="AW17" s="168" t="n">
        <v>7.83518156515542E-008</v>
      </c>
      <c r="AX17" s="168" t="n">
        <v>3.37341886619036E-006</v>
      </c>
      <c r="AY17" s="168" t="n">
        <v>3.11234523443723E-041</v>
      </c>
      <c r="AZ17" s="168" t="n">
        <v>4.22740504405863E-005</v>
      </c>
      <c r="BA17" s="168" t="n">
        <v>6.1025757504372E-006</v>
      </c>
      <c r="BB17" s="168" t="n">
        <v>6.63081181905952E-006</v>
      </c>
      <c r="BC17" s="168" t="n">
        <v>8.36890836840701E-006</v>
      </c>
      <c r="BD17" s="168" t="n">
        <v>9.30514119814726E-005</v>
      </c>
      <c r="BE17" s="168" t="n">
        <v>8.15221205809864E-005</v>
      </c>
      <c r="BF17" s="168" t="n">
        <v>0.000119294302942366</v>
      </c>
      <c r="BG17" s="3" t="n">
        <v>0.0531902596808116</v>
      </c>
      <c r="BH17" s="3" t="n">
        <v>0.0461556381861001</v>
      </c>
      <c r="BI17" s="3" t="n">
        <v>0.0680391814073843</v>
      </c>
      <c r="BJ17" s="168" t="n">
        <v>1.17391392086895E-006</v>
      </c>
      <c r="BK17" s="168" t="n">
        <v>5.87507927825942E-007</v>
      </c>
      <c r="BL17" s="168" t="n">
        <v>8.05475676340348E-006</v>
      </c>
      <c r="BM17" s="168" t="n">
        <v>4.81872427018274E-007</v>
      </c>
      <c r="BN17" s="168" t="n">
        <v>2.19600927576762E-006</v>
      </c>
      <c r="BO17" s="168" t="n">
        <v>1.87844233388731E-006</v>
      </c>
      <c r="BP17" s="168" t="n">
        <v>0.000192432523878607</v>
      </c>
      <c r="BQ17" s="168" t="n">
        <v>0.000715062093139869</v>
      </c>
      <c r="BR17" s="168" t="n">
        <v>0.000854694500067716</v>
      </c>
      <c r="BS17" s="169"/>
      <c r="BT17" s="169"/>
      <c r="BU17" s="169"/>
      <c r="BV17" s="169"/>
      <c r="BW17" s="169"/>
      <c r="BX17" s="169"/>
      <c r="BY17" s="169"/>
    </row>
    <row r="18" customFormat="false" ht="12.75" hidden="true" customHeight="false" outlineLevel="0" collapsed="false">
      <c r="A18" s="3" t="n">
        <v>2</v>
      </c>
      <c r="B18" s="3" t="n">
        <v>2.2</v>
      </c>
      <c r="C18" s="3" t="s">
        <v>236</v>
      </c>
      <c r="D18" s="3" t="s">
        <v>220</v>
      </c>
      <c r="E18" s="3" t="n">
        <v>0.108561025680478</v>
      </c>
      <c r="F18" s="3" t="n">
        <v>0.180233587884044</v>
      </c>
      <c r="G18" s="3" t="n">
        <v>0.126032270532831</v>
      </c>
      <c r="H18" s="3" t="n">
        <v>0.0499960330253437</v>
      </c>
      <c r="I18" s="3" t="n">
        <v>0.507846385560651</v>
      </c>
      <c r="J18" s="3" t="n">
        <v>0.301450825401211</v>
      </c>
      <c r="K18" s="3" t="n">
        <v>0.00672072747536205</v>
      </c>
      <c r="L18" s="168" t="n">
        <v>1.31705472871681E-029</v>
      </c>
      <c r="M18" s="3" t="n">
        <v>0.0231414990000052</v>
      </c>
      <c r="N18" s="3" t="n">
        <v>0</v>
      </c>
      <c r="O18" s="3" t="n">
        <v>0.00817745276231945</v>
      </c>
      <c r="P18" s="3" t="n">
        <v>0</v>
      </c>
      <c r="Q18" s="3" t="n">
        <v>0.022497714799277</v>
      </c>
      <c r="R18" s="168" t="n">
        <v>2.10728756594691E-028</v>
      </c>
      <c r="S18" s="3" t="n">
        <v>0.00686587892101434</v>
      </c>
      <c r="T18" s="3" t="n">
        <v>0</v>
      </c>
      <c r="U18" s="3" t="n">
        <v>0.0196649215297132</v>
      </c>
      <c r="V18" s="3" t="n">
        <v>0</v>
      </c>
      <c r="W18" s="168" t="n">
        <v>9.02357971521692E-007</v>
      </c>
      <c r="X18" s="168" t="n">
        <v>0.000175075453458444</v>
      </c>
      <c r="Y18" s="168" t="n">
        <v>3.14907603710091E-006</v>
      </c>
      <c r="Z18" s="168" t="n">
        <v>0.000554449739406284</v>
      </c>
      <c r="AA18" s="168" t="n">
        <v>3.23033854253614E-006</v>
      </c>
      <c r="AB18" s="168" t="n">
        <v>0.000376303717335357</v>
      </c>
      <c r="AC18" s="3" t="n">
        <v>0.0405324920318838</v>
      </c>
      <c r="AD18" s="3" t="n">
        <v>0.0257744474775283</v>
      </c>
      <c r="AE18" s="3" t="n">
        <v>0.0150601950492753</v>
      </c>
      <c r="AF18" s="3" t="n">
        <v>0.00144916231884081</v>
      </c>
      <c r="AG18" s="168" t="n">
        <v>5.89502035151571E-033</v>
      </c>
      <c r="AH18" s="3" t="n">
        <v>0.00124029420000004</v>
      </c>
      <c r="AI18" s="3" t="n">
        <v>0</v>
      </c>
      <c r="AJ18" s="3" t="n">
        <v>0.00139751480579744</v>
      </c>
      <c r="AK18" s="168" t="n">
        <v>5.26821891486727E-029</v>
      </c>
      <c r="AL18" s="168" t="n">
        <v>8.66540073971038E-006</v>
      </c>
      <c r="AM18" s="168" t="n">
        <v>0.000455960987190439</v>
      </c>
      <c r="AN18" s="168" t="n">
        <v>4.32277703992748E-006</v>
      </c>
      <c r="AO18" s="3" t="n">
        <v>0.00136856643360575</v>
      </c>
      <c r="AP18" s="168" t="n">
        <v>5.19824247269578E-005</v>
      </c>
      <c r="AQ18" s="168" t="n">
        <v>0.000520146325235471</v>
      </c>
      <c r="AR18" s="3" t="n">
        <v>0.067811569295658</v>
      </c>
      <c r="AS18" s="3" t="n">
        <v>0.00897717162608661</v>
      </c>
      <c r="AT18" s="3" t="n">
        <v>0.0851395621101411</v>
      </c>
      <c r="AU18" s="168" t="n">
        <v>1.34834710146177E-008</v>
      </c>
      <c r="AV18" s="168" t="n">
        <v>1.38868353739406E-006</v>
      </c>
      <c r="AW18" s="168" t="n">
        <v>1.22756834785967E-008</v>
      </c>
      <c r="AX18" s="168" t="n">
        <v>7.82524415023634E-006</v>
      </c>
      <c r="AY18" s="168" t="n">
        <v>1.61664353630608E-040</v>
      </c>
      <c r="AZ18" s="168" t="n">
        <v>6.62347620437425E-006</v>
      </c>
      <c r="BA18" s="168" t="n">
        <v>4.91489063043324E-006</v>
      </c>
      <c r="BB18" s="168" t="n">
        <v>5.39724305673898E-006</v>
      </c>
      <c r="BC18" s="168" t="n">
        <v>8.12748398195552E-006</v>
      </c>
      <c r="BD18" s="168" t="n">
        <v>4.71477706054034E-005</v>
      </c>
      <c r="BE18" s="168" t="n">
        <v>3.63434819492882E-005</v>
      </c>
      <c r="BF18" s="168" t="n">
        <v>3.14180499775805E-005</v>
      </c>
      <c r="BG18" s="3" t="n">
        <v>0.0267443270972697</v>
      </c>
      <c r="BH18" s="3" t="n">
        <v>0.0203477362259042</v>
      </c>
      <c r="BI18" s="3" t="n">
        <v>0.0174830476153566</v>
      </c>
      <c r="BJ18" s="168" t="n">
        <v>7.74707503304493E-006</v>
      </c>
      <c r="BK18" s="168" t="n">
        <v>4.21040739710185E-007</v>
      </c>
      <c r="BL18" s="168" t="n">
        <v>3.24558298434087E-005</v>
      </c>
      <c r="BM18" s="168" t="n">
        <v>1.90631030219028E-007</v>
      </c>
      <c r="BN18" s="168" t="n">
        <v>4.08958808020367E-006</v>
      </c>
      <c r="BO18" s="168" t="n">
        <v>3.19373293603373E-006</v>
      </c>
      <c r="BP18" s="168" t="n">
        <v>0.000275260013666177</v>
      </c>
      <c r="BQ18" s="3" t="n">
        <v>0.0013949977705928</v>
      </c>
      <c r="BR18" s="3" t="n">
        <v>0.00271439693464465</v>
      </c>
      <c r="BS18" s="169"/>
      <c r="BT18" s="169"/>
      <c r="BU18" s="169"/>
      <c r="BV18" s="169"/>
      <c r="BW18" s="169"/>
      <c r="BX18" s="169"/>
      <c r="BY18" s="169"/>
    </row>
    <row r="19" customFormat="false" ht="12.75" hidden="true" customHeight="false" outlineLevel="0" collapsed="false">
      <c r="A19" s="3" t="n">
        <v>2</v>
      </c>
      <c r="B19" s="3" t="n">
        <v>2.2</v>
      </c>
      <c r="C19" s="3" t="s">
        <v>237</v>
      </c>
      <c r="D19" s="3" t="s">
        <v>220</v>
      </c>
      <c r="E19" s="3" t="n">
        <v>0.228400779668832</v>
      </c>
      <c r="F19" s="3" t="n">
        <v>0.119005015649271</v>
      </c>
      <c r="G19" s="3" t="n">
        <v>0.0102008976600044</v>
      </c>
      <c r="H19" s="3" t="n">
        <v>0.0261312143645014</v>
      </c>
      <c r="I19" s="3" t="n">
        <v>0.109554386203933</v>
      </c>
      <c r="J19" s="3" t="n">
        <v>0.199361833881098</v>
      </c>
      <c r="K19" s="3" t="n">
        <v>0.0146782228405788</v>
      </c>
      <c r="L19" s="168" t="n">
        <v>1.48168656980642E-029</v>
      </c>
      <c r="M19" s="3" t="n">
        <v>0.0498311263536195</v>
      </c>
      <c r="N19" s="3" t="n">
        <v>0</v>
      </c>
      <c r="O19" s="3" t="n">
        <v>0.020489802434058</v>
      </c>
      <c r="P19" s="168" t="n">
        <v>3.51214594324485E-029</v>
      </c>
      <c r="Q19" s="3" t="n">
        <v>0.0689172594753603</v>
      </c>
      <c r="R19" s="168" t="n">
        <v>1.05364378297345E-028</v>
      </c>
      <c r="S19" s="3" t="n">
        <v>0.0205440665826054</v>
      </c>
      <c r="T19" s="3" t="n">
        <v>0</v>
      </c>
      <c r="U19" s="3" t="n">
        <v>0.0483886783188415</v>
      </c>
      <c r="V19" s="3" t="n">
        <v>0</v>
      </c>
      <c r="W19" s="168" t="n">
        <v>1.92671009826085E-006</v>
      </c>
      <c r="X19" s="168" t="n">
        <v>0.000739015300149165</v>
      </c>
      <c r="Y19" s="168" t="n">
        <v>3.66730805912991E-006</v>
      </c>
      <c r="Z19" s="3" t="n">
        <v>0.00104838556926431</v>
      </c>
      <c r="AA19" s="168" t="n">
        <v>1.17899765210145E-006</v>
      </c>
      <c r="AB19" s="168" t="n">
        <v>0.000882736954852845</v>
      </c>
      <c r="AC19" s="3" t="n">
        <v>0.0745457312340595</v>
      </c>
      <c r="AD19" s="3" t="n">
        <v>0.0544366845384002</v>
      </c>
      <c r="AE19" s="3" t="n">
        <v>0.0151020112340548</v>
      </c>
      <c r="AF19" s="3" t="n">
        <v>0.00352832046086954</v>
      </c>
      <c r="AG19" s="168" t="n">
        <v>5.09115393994538E-033</v>
      </c>
      <c r="AH19" s="3" t="n">
        <v>0.00304032253260859</v>
      </c>
      <c r="AI19" s="3" t="n">
        <v>0</v>
      </c>
      <c r="AJ19" s="3" t="n">
        <v>0.00506941128623224</v>
      </c>
      <c r="AK19" s="168" t="n">
        <v>1.40485837729794E-028</v>
      </c>
      <c r="AL19" s="168" t="n">
        <v>3.802599845797E-005</v>
      </c>
      <c r="AM19" s="168" t="n">
        <v>0.00017414547792957</v>
      </c>
      <c r="AN19" s="168" t="n">
        <v>2.89317029565219E-006</v>
      </c>
      <c r="AO19" s="168" t="n">
        <v>0.000610249429315756</v>
      </c>
      <c r="AP19" s="168" t="n">
        <v>2.15280992584797E-005</v>
      </c>
      <c r="AQ19" s="168" t="n">
        <v>0.000627630735069662</v>
      </c>
      <c r="AR19" s="3" t="n">
        <v>0.223806904254344</v>
      </c>
      <c r="AS19" s="3" t="n">
        <v>0.00738774311231844</v>
      </c>
      <c r="AT19" s="3" t="n">
        <v>0.0177011437565212</v>
      </c>
      <c r="AU19" s="168" t="n">
        <v>8.82879818825577E-009</v>
      </c>
      <c r="AV19" s="168" t="n">
        <v>1.33207675361298E-008</v>
      </c>
      <c r="AW19" s="168" t="n">
        <v>1.07936866667506E-008</v>
      </c>
      <c r="AX19" s="168" t="n">
        <v>5.1239136756345E-006</v>
      </c>
      <c r="AY19" s="168" t="n">
        <v>1.55083817171112E-042</v>
      </c>
      <c r="AZ19" s="168" t="n">
        <v>5.82377907065288E-006</v>
      </c>
      <c r="BA19" s="168" t="n">
        <v>2.89109478579733E-006</v>
      </c>
      <c r="BB19" s="168" t="n">
        <v>3.42960597499889E-006</v>
      </c>
      <c r="BC19" s="168" t="n">
        <v>7.0970999173909E-006</v>
      </c>
      <c r="BD19" s="168" t="n">
        <v>9.7148013689002E-006</v>
      </c>
      <c r="BE19" s="168" t="n">
        <v>9.58465588655874E-006</v>
      </c>
      <c r="BF19" s="168" t="n">
        <v>7.88097651032239E-006</v>
      </c>
      <c r="BG19" s="3" t="n">
        <v>0.00538628383443845</v>
      </c>
      <c r="BH19" s="3" t="n">
        <v>0.00524387143669881</v>
      </c>
      <c r="BI19" s="3" t="n">
        <v>0.0042004475516632</v>
      </c>
      <c r="BJ19" s="168" t="n">
        <v>2.11106155710055E-006</v>
      </c>
      <c r="BK19" s="168" t="n">
        <v>1.24713524521725E-006</v>
      </c>
      <c r="BL19" s="168" t="n">
        <v>1.76938389564798E-007</v>
      </c>
      <c r="BM19" s="168" t="n">
        <v>9.50724970674283E-007</v>
      </c>
      <c r="BN19" s="168" t="n">
        <v>4.25059253914312E-005</v>
      </c>
      <c r="BO19" s="168" t="n">
        <v>1.29966147317101E-006</v>
      </c>
      <c r="BP19" s="168" t="n">
        <v>0.000516121954208513</v>
      </c>
      <c r="BQ19" s="3" t="n">
        <v>0.0130824870940763</v>
      </c>
      <c r="BR19" s="168" t="n">
        <v>0.000379367591319375</v>
      </c>
      <c r="BS19" s="169"/>
      <c r="BT19" s="169"/>
      <c r="BU19" s="169"/>
      <c r="BV19" s="169"/>
      <c r="BW19" s="169"/>
      <c r="BX19" s="169"/>
      <c r="BY19" s="169"/>
    </row>
    <row r="20" customFormat="false" ht="12.75" hidden="true" customHeight="false" outlineLevel="0" collapsed="false">
      <c r="A20" s="3" t="n">
        <v>2</v>
      </c>
      <c r="B20" s="3" t="n">
        <v>2.3</v>
      </c>
      <c r="C20" s="3" t="s">
        <v>238</v>
      </c>
      <c r="D20" s="3" t="s">
        <v>220</v>
      </c>
      <c r="E20" s="3" t="n">
        <v>0.332914384773922</v>
      </c>
      <c r="F20" s="3" t="n">
        <v>0.239730641982608</v>
      </c>
      <c r="G20" s="3" t="n">
        <v>0.199184428345198</v>
      </c>
      <c r="H20" s="3" t="n">
        <v>0.0187528721826089</v>
      </c>
      <c r="I20" s="3" t="n">
        <v>0.429401058250717</v>
      </c>
      <c r="J20" s="3" t="n">
        <v>0.448604591171076</v>
      </c>
      <c r="K20" s="3" t="n">
        <v>0.00874493936739189</v>
      </c>
      <c r="L20" s="168" t="n">
        <v>1.48168656980642E-029</v>
      </c>
      <c r="M20" s="3" t="n">
        <v>0.0320325878579725</v>
      </c>
      <c r="N20" s="3" t="n">
        <v>0</v>
      </c>
      <c r="O20" s="3" t="n">
        <v>0.0104742652862342</v>
      </c>
      <c r="P20" s="3" t="n">
        <v>0</v>
      </c>
      <c r="Q20" s="3" t="n">
        <v>0.0245644739297075</v>
      </c>
      <c r="R20" s="168" t="n">
        <v>2.10728756594691E-028</v>
      </c>
      <c r="S20" s="3" t="n">
        <v>0.00598216830652</v>
      </c>
      <c r="T20" s="3" t="n">
        <v>0</v>
      </c>
      <c r="U20" s="3" t="n">
        <v>0.0190201566253587</v>
      </c>
      <c r="V20" s="3" t="n">
        <v>0</v>
      </c>
      <c r="W20" s="168" t="n">
        <v>2.97366212514514E-006</v>
      </c>
      <c r="X20" s="168" t="n">
        <v>0.000387918858471045</v>
      </c>
      <c r="Y20" s="168" t="n">
        <v>9.21636502536186E-007</v>
      </c>
      <c r="Z20" s="168" t="n">
        <v>0.000283026819208316</v>
      </c>
      <c r="AA20" s="168" t="n">
        <v>9.75847523478347E-007</v>
      </c>
      <c r="AB20" s="168" t="n">
        <v>0.000762810770723417</v>
      </c>
      <c r="AC20" s="3" t="n">
        <v>0.0768200518253638</v>
      </c>
      <c r="AD20" s="3" t="n">
        <v>0.0158403757797111</v>
      </c>
      <c r="AE20" s="3" t="n">
        <v>0.0804228546891431</v>
      </c>
      <c r="AF20" s="3" t="n">
        <v>0.00208850068405818</v>
      </c>
      <c r="AG20" s="168" t="n">
        <v>2.67955470523441E-034</v>
      </c>
      <c r="AH20" s="3" t="n">
        <v>0.00125647036521768</v>
      </c>
      <c r="AI20" s="3" t="n">
        <v>0</v>
      </c>
      <c r="AJ20" s="3" t="n">
        <v>0.0019167811123188</v>
      </c>
      <c r="AK20" s="168" t="n">
        <v>2.10728756594691E-028</v>
      </c>
      <c r="AL20" s="168" t="n">
        <v>1.59913338543474E-006</v>
      </c>
      <c r="AM20" s="3" t="n">
        <v>0.00263641156233303</v>
      </c>
      <c r="AN20" s="168" t="n">
        <v>6.18650442353635E-005</v>
      </c>
      <c r="AO20" s="168" t="n">
        <v>0.000346503368936953</v>
      </c>
      <c r="AP20" s="168" t="n">
        <v>1.44262487790582E-005</v>
      </c>
      <c r="AQ20" s="168" t="n">
        <v>0.00019398765928342</v>
      </c>
      <c r="AR20" s="3" t="n">
        <v>0.0484827926492725</v>
      </c>
      <c r="AS20" s="3" t="n">
        <v>0.291403107663052</v>
      </c>
      <c r="AT20" s="3" t="n">
        <v>0.0270203917905789</v>
      </c>
      <c r="AU20" s="168" t="n">
        <v>2.78898979706771E-008</v>
      </c>
      <c r="AV20" s="168" t="n">
        <v>7.85692366231221E-006</v>
      </c>
      <c r="AW20" s="168" t="n">
        <v>4.80095448044944E-007</v>
      </c>
      <c r="AX20" s="168" t="n">
        <v>2.57019244172281E-006</v>
      </c>
      <c r="AY20" s="3" t="n">
        <v>0.00225427981116422</v>
      </c>
      <c r="AZ20" s="168" t="n">
        <v>0.000259053499791327</v>
      </c>
      <c r="BA20" s="168" t="n">
        <v>2.80629836688452E-006</v>
      </c>
      <c r="BB20" s="168" t="n">
        <v>2.81825236688206E-006</v>
      </c>
      <c r="BC20" s="168" t="n">
        <v>4.30979803239093E-006</v>
      </c>
      <c r="BD20" s="168" t="n">
        <v>2.74324120081063E-005</v>
      </c>
      <c r="BE20" s="168" t="n">
        <v>3.41258975852554E-005</v>
      </c>
      <c r="BF20" s="168" t="n">
        <v>2.81646531764579E-005</v>
      </c>
      <c r="BG20" s="3" t="n">
        <v>0.0155451889940482</v>
      </c>
      <c r="BH20" s="3" t="n">
        <v>0.0192597598861755</v>
      </c>
      <c r="BI20" s="3" t="n">
        <v>0.0158058220039896</v>
      </c>
      <c r="BJ20" s="168" t="n">
        <v>8.86801679347206E-007</v>
      </c>
      <c r="BK20" s="168" t="n">
        <v>3.22851100145002E-006</v>
      </c>
      <c r="BL20" s="168" t="n">
        <v>1.15310559355817E-005</v>
      </c>
      <c r="BM20" s="168" t="n">
        <v>4.02363285037387E-007</v>
      </c>
      <c r="BN20" s="168" t="n">
        <v>3.18636914689254E-005</v>
      </c>
      <c r="BO20" s="168" t="n">
        <v>6.05487581217849E-007</v>
      </c>
      <c r="BP20" s="168" t="n">
        <v>0.000183187864563667</v>
      </c>
      <c r="BQ20" s="3" t="n">
        <v>0.00990365293209009</v>
      </c>
      <c r="BR20" s="168" t="n">
        <v>0.000698766211396898</v>
      </c>
      <c r="BS20" s="169"/>
      <c r="BT20" s="169"/>
      <c r="BU20" s="169"/>
      <c r="BV20" s="169"/>
      <c r="BW20" s="169"/>
      <c r="BX20" s="169"/>
      <c r="BY20" s="169"/>
    </row>
    <row r="21" customFormat="false" ht="12.75" hidden="true" customHeight="false" outlineLevel="0" collapsed="false">
      <c r="A21" s="3" t="n">
        <v>2</v>
      </c>
      <c r="B21" s="3" t="n">
        <v>2.3</v>
      </c>
      <c r="C21" s="3" t="s">
        <v>239</v>
      </c>
      <c r="D21" s="3" t="s">
        <v>220</v>
      </c>
      <c r="E21" s="3" t="n">
        <v>0.517249840626113</v>
      </c>
      <c r="F21" s="3" t="n">
        <v>0.399724649686275</v>
      </c>
      <c r="G21" s="3" t="n">
        <v>0.0983955577985969</v>
      </c>
      <c r="H21" s="3" t="n">
        <v>0.0295427443297086</v>
      </c>
      <c r="I21" s="3" t="n">
        <v>0.230867031754591</v>
      </c>
      <c r="J21" s="3" t="n">
        <v>0.255702579457808</v>
      </c>
      <c r="K21" s="3" t="n">
        <v>0.0127131368340579</v>
      </c>
      <c r="L21" s="168" t="n">
        <v>1.75607297162242E-029</v>
      </c>
      <c r="M21" s="3" t="n">
        <v>0.0338884221731838</v>
      </c>
      <c r="N21" s="3" t="n">
        <v>0</v>
      </c>
      <c r="O21" s="3" t="n">
        <v>0.0140095433971052</v>
      </c>
      <c r="P21" s="3" t="n">
        <v>0</v>
      </c>
      <c r="Q21" s="3" t="n">
        <v>0.0485046995130403</v>
      </c>
      <c r="R21" s="168" t="n">
        <v>2.10728756594691E-028</v>
      </c>
      <c r="S21" s="3" t="n">
        <v>0.0174283804260884</v>
      </c>
      <c r="T21" s="3" t="n">
        <v>0</v>
      </c>
      <c r="U21" s="3" t="n">
        <v>0.0500527804057956</v>
      </c>
      <c r="V21" s="3" t="n">
        <v>0</v>
      </c>
      <c r="W21" s="168" t="n">
        <v>5.44640903065239E-006</v>
      </c>
      <c r="X21" s="3" t="n">
        <v>0.00123483559347598</v>
      </c>
      <c r="Y21" s="168" t="n">
        <v>3.0294009414493E-006</v>
      </c>
      <c r="Z21" s="3" t="n">
        <v>0.00211664858139831</v>
      </c>
      <c r="AA21" s="168" t="n">
        <v>1.26565042601467E-006</v>
      </c>
      <c r="AB21" s="3" t="n">
        <v>0.00286101615112689</v>
      </c>
      <c r="AC21" s="3" t="n">
        <v>0.135522054257974</v>
      </c>
      <c r="AD21" s="3" t="n">
        <v>0.0194007416862328</v>
      </c>
      <c r="AE21" s="3" t="n">
        <v>0.143967910515216</v>
      </c>
      <c r="AF21" s="3" t="n">
        <v>0.00222143344927558</v>
      </c>
      <c r="AG21" s="168" t="n">
        <v>2.27762149944925E-033</v>
      </c>
      <c r="AH21" s="3" t="n">
        <v>0.00371694198260854</v>
      </c>
      <c r="AI21" s="3" t="n">
        <v>0</v>
      </c>
      <c r="AJ21" s="3" t="n">
        <v>0.00342788695362322</v>
      </c>
      <c r="AK21" s="168" t="n">
        <v>6.14625540067849E-029</v>
      </c>
      <c r="AL21" s="168" t="n">
        <v>3.85577574427506E-006</v>
      </c>
      <c r="AM21" s="3" t="n">
        <v>0.00364060270405793</v>
      </c>
      <c r="AN21" s="168" t="n">
        <v>0.000102730124256232</v>
      </c>
      <c r="AO21" s="168" t="n">
        <v>0.000555791299679692</v>
      </c>
      <c r="AP21" s="168" t="n">
        <v>5.23744096008696E-005</v>
      </c>
      <c r="AQ21" s="168" t="n">
        <v>0.000976390749891152</v>
      </c>
      <c r="AR21" s="3" t="n">
        <v>0.0850300739913059</v>
      </c>
      <c r="AS21" s="3" t="n">
        <v>0.66973127256521</v>
      </c>
      <c r="AT21" s="3" t="n">
        <v>0.0669483269036239</v>
      </c>
      <c r="AU21" s="168" t="n">
        <v>2.11420127545687E-008</v>
      </c>
      <c r="AV21" s="168" t="n">
        <v>1.58778196977854E-006</v>
      </c>
      <c r="AW21" s="168" t="n">
        <v>2.74359866665264E-007</v>
      </c>
      <c r="AX21" s="168" t="n">
        <v>1.94830206172362E-006</v>
      </c>
      <c r="AY21" s="168" t="n">
        <v>0.000455667360102269</v>
      </c>
      <c r="AZ21" s="168" t="n">
        <v>0.000148062145707139</v>
      </c>
      <c r="BA21" s="168" t="n">
        <v>2.41614885847775E-006</v>
      </c>
      <c r="BB21" s="168" t="n">
        <v>2.93753421210033E-006</v>
      </c>
      <c r="BC21" s="168" t="n">
        <v>4.20188658021597E-006</v>
      </c>
      <c r="BD21" s="168" t="n">
        <v>2.14113872204581E-005</v>
      </c>
      <c r="BE21" s="168" t="n">
        <v>1.94486257916842E-005</v>
      </c>
      <c r="BF21" s="168" t="n">
        <v>1.84944869697273E-005</v>
      </c>
      <c r="BG21" s="3" t="n">
        <v>0.0121046459777945</v>
      </c>
      <c r="BH21" s="3" t="n">
        <v>0.0108621232443341</v>
      </c>
      <c r="BI21" s="3" t="n">
        <v>0.0102875972498764</v>
      </c>
      <c r="BJ21" s="168" t="n">
        <v>5.2411395640564E-006</v>
      </c>
      <c r="BK21" s="168" t="n">
        <v>7.00041331013662E-007</v>
      </c>
      <c r="BL21" s="168" t="n">
        <v>3.05834603825966E-006</v>
      </c>
      <c r="BM21" s="168" t="n">
        <v>3.16652076294816E-007</v>
      </c>
      <c r="BN21" s="168" t="n">
        <v>3.84087581517442E-006</v>
      </c>
      <c r="BO21" s="168" t="n">
        <v>3.00932437998733E-006</v>
      </c>
      <c r="BP21" s="168" t="n">
        <v>0.000194552305259833</v>
      </c>
      <c r="BQ21" s="3" t="n">
        <v>0.00107917227809114</v>
      </c>
      <c r="BR21" s="3" t="n">
        <v>0.00137900992427413</v>
      </c>
      <c r="BS21" s="169"/>
      <c r="BT21" s="169"/>
      <c r="BU21" s="169"/>
      <c r="BV21" s="169"/>
      <c r="BW21" s="169"/>
      <c r="BX21" s="169"/>
      <c r="BY21" s="169"/>
    </row>
    <row r="22" customFormat="false" ht="12.75" hidden="true" customHeight="false" outlineLevel="0" collapsed="false">
      <c r="A22" s="3" t="n">
        <v>2</v>
      </c>
      <c r="B22" s="3" t="n">
        <v>2.3</v>
      </c>
      <c r="C22" s="3" t="s">
        <v>240</v>
      </c>
      <c r="D22" s="3" t="s">
        <v>220</v>
      </c>
      <c r="E22" s="3" t="n">
        <v>0.676508887981801</v>
      </c>
      <c r="F22" s="3" t="n">
        <v>0.73674773240578</v>
      </c>
      <c r="G22" s="3" t="n">
        <v>0.0657056803736614</v>
      </c>
      <c r="H22" s="3" t="n">
        <v>0.00903859632971587</v>
      </c>
      <c r="I22" s="3" t="n">
        <v>0.529292983389584</v>
      </c>
      <c r="J22" s="3" t="n">
        <v>0.481738711899753</v>
      </c>
      <c r="K22" s="3" t="n">
        <v>0.00729863114710126</v>
      </c>
      <c r="L22" s="168" t="n">
        <v>1.64631841089602E-029</v>
      </c>
      <c r="M22" s="3" t="n">
        <v>0.0246139250666662</v>
      </c>
      <c r="N22" s="3" t="n">
        <v>0</v>
      </c>
      <c r="O22" s="3" t="n">
        <v>0.00846325876449168</v>
      </c>
      <c r="P22" s="3" t="n">
        <v>0</v>
      </c>
      <c r="Q22" s="3" t="n">
        <v>0.0254639012057934</v>
      </c>
      <c r="R22" s="168" t="n">
        <v>7.0242918864897E-029</v>
      </c>
      <c r="S22" s="3" t="n">
        <v>0.00848783993913117</v>
      </c>
      <c r="T22" s="3" t="n">
        <v>0</v>
      </c>
      <c r="U22" s="3" t="n">
        <v>0.0226856713710144</v>
      </c>
      <c r="V22" s="3" t="n">
        <v>0</v>
      </c>
      <c r="W22" s="168" t="n">
        <v>5.37211756753615E-006</v>
      </c>
      <c r="X22" s="168" t="n">
        <v>0.000911324486945783</v>
      </c>
      <c r="Y22" s="168" t="n">
        <v>1.93298583644936E-006</v>
      </c>
      <c r="Z22" s="168" t="n">
        <v>0.000625819861925327</v>
      </c>
      <c r="AA22" s="168" t="n">
        <v>3.02175518231871E-006</v>
      </c>
      <c r="AB22" s="3" t="n">
        <v>0.00106201704028135</v>
      </c>
      <c r="AC22" s="3" t="n">
        <v>0.359483382225358</v>
      </c>
      <c r="AD22" s="3" t="n">
        <v>0.0573738889014416</v>
      </c>
      <c r="AE22" s="3" t="n">
        <v>0.0700099934927645</v>
      </c>
      <c r="AF22" s="3" t="n">
        <v>0.00158612394710155</v>
      </c>
      <c r="AG22" s="168" t="n">
        <v>2.41159923471097E-033</v>
      </c>
      <c r="AH22" s="3" t="n">
        <v>0.00139422969275368</v>
      </c>
      <c r="AI22" s="3" t="n">
        <v>0</v>
      </c>
      <c r="AJ22" s="3" t="n">
        <v>0.00151724450362295</v>
      </c>
      <c r="AK22" s="168" t="n">
        <v>2.10728756594691E-028</v>
      </c>
      <c r="AL22" s="168" t="n">
        <v>1.89267394225357E-005</v>
      </c>
      <c r="AM22" s="3" t="n">
        <v>0.00369104197720244</v>
      </c>
      <c r="AN22" s="168" t="n">
        <v>5.4743597362824E-005</v>
      </c>
      <c r="AO22" s="168" t="n">
        <v>0.000201425353947376</v>
      </c>
      <c r="AP22" s="168" t="n">
        <v>3.59606979384747E-005</v>
      </c>
      <c r="AQ22" s="168" t="n">
        <v>0.000255026413849217</v>
      </c>
      <c r="AR22" s="3" t="n">
        <v>0.405926527825361</v>
      </c>
      <c r="AS22" s="3" t="n">
        <v>0.403246846260145</v>
      </c>
      <c r="AT22" s="3" t="n">
        <v>0.066969093657983</v>
      </c>
      <c r="AU22" s="168" t="n">
        <v>1.40163477535235E-008</v>
      </c>
      <c r="AV22" s="168" t="n">
        <v>5.23123648623155E-007</v>
      </c>
      <c r="AW22" s="168" t="n">
        <v>2.66800173912119E-007</v>
      </c>
      <c r="AX22" s="168" t="n">
        <v>1.29166585849766E-006</v>
      </c>
      <c r="AY22" s="168" t="n">
        <v>0.000150135373561728</v>
      </c>
      <c r="AZ22" s="168" t="n">
        <v>0.000143992877371956</v>
      </c>
      <c r="BA22" s="168" t="n">
        <v>2.20185368862436E-006</v>
      </c>
      <c r="BB22" s="168" t="n">
        <v>2.68977742369642E-006</v>
      </c>
      <c r="BC22" s="168" t="n">
        <v>3.87485148630471E-006</v>
      </c>
      <c r="BD22" s="168" t="n">
        <v>2.4944127313356E-005</v>
      </c>
      <c r="BE22" s="168" t="n">
        <v>1.80940807413385E-005</v>
      </c>
      <c r="BF22" s="168" t="n">
        <v>1.75794526348747E-005</v>
      </c>
      <c r="BG22" s="3" t="n">
        <v>0.0141489053927428</v>
      </c>
      <c r="BH22" s="3" t="n">
        <v>0.0101054092002538</v>
      </c>
      <c r="BI22" s="3" t="n">
        <v>0.00977548086669754</v>
      </c>
      <c r="BJ22" s="168" t="n">
        <v>4.23378462492363E-006</v>
      </c>
      <c r="BK22" s="168" t="n">
        <v>3.73862277971174E-007</v>
      </c>
      <c r="BL22" s="168" t="n">
        <v>1.54456560207927E-005</v>
      </c>
      <c r="BM22" s="168" t="n">
        <v>2.04637278370096E-007</v>
      </c>
      <c r="BN22" s="168" t="n">
        <v>4.79945682593553E-006</v>
      </c>
      <c r="BO22" s="168" t="n">
        <v>7.71950187821764E-006</v>
      </c>
      <c r="BP22" s="168" t="n">
        <v>0.000236479750240514</v>
      </c>
      <c r="BQ22" s="3" t="n">
        <v>0.00146562301593132</v>
      </c>
      <c r="BR22" s="3" t="n">
        <v>0.00409537699305793</v>
      </c>
      <c r="BS22" s="169"/>
      <c r="BT22" s="169"/>
      <c r="BU22" s="169"/>
      <c r="BV22" s="169"/>
      <c r="BW22" s="169"/>
      <c r="BX22" s="169"/>
      <c r="BY22" s="169"/>
    </row>
    <row r="23" customFormat="false" ht="12.75" hidden="true" customHeight="false" outlineLevel="0" collapsed="false">
      <c r="A23" s="3" t="n">
        <v>2</v>
      </c>
      <c r="B23" s="3" t="n">
        <v>2.4</v>
      </c>
      <c r="C23" s="3" t="s">
        <v>241</v>
      </c>
      <c r="D23" s="3" t="s">
        <v>220</v>
      </c>
      <c r="E23" s="3" t="n">
        <v>0.672355103034729</v>
      </c>
      <c r="F23" s="3" t="n">
        <v>0.604954129171125</v>
      </c>
      <c r="G23" s="3" t="n">
        <v>0.239723997521096</v>
      </c>
      <c r="H23" s="3" t="n">
        <v>0.0054854859449285</v>
      </c>
      <c r="I23" s="3" t="n">
        <v>1.16805594276947</v>
      </c>
      <c r="J23" s="3" t="n">
        <v>1.19901987346431</v>
      </c>
      <c r="K23" s="3" t="n">
        <v>0.0119582452144938</v>
      </c>
      <c r="L23" s="168" t="n">
        <v>1.31705472871681E-029</v>
      </c>
      <c r="M23" s="3" t="n">
        <v>0.0361141997731878</v>
      </c>
      <c r="N23" s="3" t="n">
        <v>0</v>
      </c>
      <c r="O23" s="3" t="n">
        <v>0.0110411500282614</v>
      </c>
      <c r="P23" s="3" t="n">
        <v>0</v>
      </c>
      <c r="Q23" s="3" t="n">
        <v>0.0290881638956511</v>
      </c>
      <c r="R23" s="168" t="n">
        <v>1.40485837729794E-028</v>
      </c>
      <c r="S23" s="3" t="n">
        <v>0.0093737585210134</v>
      </c>
      <c r="T23" s="3" t="n">
        <v>0</v>
      </c>
      <c r="U23" s="3" t="n">
        <v>0.0319187465130433</v>
      </c>
      <c r="V23" s="3" t="n">
        <v>0</v>
      </c>
      <c r="W23" s="168" t="n">
        <v>3.74786908260877E-006</v>
      </c>
      <c r="X23" s="168" t="n">
        <v>0.000819582282144537</v>
      </c>
      <c r="Y23" s="168" t="n">
        <v>5.57380743188372E-007</v>
      </c>
      <c r="Z23" s="168" t="n">
        <v>0.000711134381104629</v>
      </c>
      <c r="AA23" s="168" t="n">
        <v>3.97196035362339E-006</v>
      </c>
      <c r="AB23" s="168" t="n">
        <v>0.000931454691357009</v>
      </c>
      <c r="AC23" s="3" t="n">
        <v>0.242376957979721</v>
      </c>
      <c r="AD23" s="3" t="n">
        <v>0.00417108566884047</v>
      </c>
      <c r="AE23" s="3" t="n">
        <v>0.108387008190583</v>
      </c>
      <c r="AF23" s="3" t="n">
        <v>0.00244108767536226</v>
      </c>
      <c r="AG23" s="168" t="n">
        <v>6.96684223360947E-033</v>
      </c>
      <c r="AH23" s="3" t="n">
        <v>0.00207435536231875</v>
      </c>
      <c r="AI23" s="3" t="n">
        <v>0</v>
      </c>
      <c r="AJ23" s="3" t="n">
        <v>0.00186312912970988</v>
      </c>
      <c r="AK23" s="168" t="n">
        <v>2.10728756594691E-028</v>
      </c>
      <c r="AL23" s="168" t="n">
        <v>1.12392972684059E-005</v>
      </c>
      <c r="AM23" s="168" t="n">
        <v>0.000242577371868114</v>
      </c>
      <c r="AN23" s="168" t="n">
        <v>7.06201321558727E-005</v>
      </c>
      <c r="AO23" s="168" t="n">
        <v>0.000245516107112746</v>
      </c>
      <c r="AP23" s="168" t="n">
        <v>1.67137975065221E-006</v>
      </c>
      <c r="AQ23" s="168" t="n">
        <v>0.000277163768153801</v>
      </c>
      <c r="AR23" s="3" t="n">
        <v>0.0821857590492794</v>
      </c>
      <c r="AS23" s="3" t="n">
        <v>0.478302386619587</v>
      </c>
      <c r="AT23" s="3" t="n">
        <v>0.00924507519347853</v>
      </c>
      <c r="AU23" s="168" t="n">
        <v>2.03535223187697E-008</v>
      </c>
      <c r="AV23" s="168" t="n">
        <v>2.54208430253602E-006</v>
      </c>
      <c r="AW23" s="168" t="n">
        <v>9.71883765228252E-008</v>
      </c>
      <c r="AX23" s="168" t="n">
        <v>1.181333631496E-005</v>
      </c>
      <c r="AY23" s="168" t="n">
        <v>0.000729700991799575</v>
      </c>
      <c r="AZ23" s="168" t="n">
        <v>1.1149708442346E-041</v>
      </c>
      <c r="BA23" s="168" t="n">
        <v>3.04683359123253E-006</v>
      </c>
      <c r="BB23" s="168" t="n">
        <v>3.16898993210071E-006</v>
      </c>
      <c r="BC23" s="168" t="n">
        <v>2.93284273043541E-006</v>
      </c>
      <c r="BD23" s="168" t="n">
        <v>6.30974733072962E-005</v>
      </c>
      <c r="BE23" s="168" t="n">
        <v>3.81486772515117E-005</v>
      </c>
      <c r="BF23" s="168" t="n">
        <v>3.39142896256789E-005</v>
      </c>
      <c r="BG23" s="3" t="n">
        <v>0.0360989082606247</v>
      </c>
      <c r="BH23" s="3" t="n">
        <v>0.0215279871552708</v>
      </c>
      <c r="BI23" s="3" t="n">
        <v>0.0191914415486728</v>
      </c>
      <c r="BJ23" s="168" t="n">
        <v>2.80400519928524E-007</v>
      </c>
      <c r="BK23" s="168" t="n">
        <v>1.32358025391196E-006</v>
      </c>
      <c r="BL23" s="168" t="n">
        <v>8.81079788688816E-006</v>
      </c>
      <c r="BM23" s="168" t="n">
        <v>4.51014625262108E-007</v>
      </c>
      <c r="BN23" s="168" t="n">
        <v>3.60837182055447E-005</v>
      </c>
      <c r="BO23" s="168" t="n">
        <v>1.35198930978535E-006</v>
      </c>
      <c r="BP23" s="168" t="n">
        <v>0.000181176513473099</v>
      </c>
      <c r="BQ23" s="3" t="n">
        <v>0.0112622662391828</v>
      </c>
      <c r="BR23" s="3" t="n">
        <v>0.00103047665994969</v>
      </c>
      <c r="BS23" s="169"/>
      <c r="BT23" s="169"/>
      <c r="BU23" s="169"/>
      <c r="BV23" s="169"/>
      <c r="BW23" s="169"/>
      <c r="BX23" s="169"/>
      <c r="BY23" s="169"/>
    </row>
    <row r="24" customFormat="false" ht="12.75" hidden="true" customHeight="false" outlineLevel="0" collapsed="false">
      <c r="A24" s="3" t="n">
        <v>2</v>
      </c>
      <c r="B24" s="3" t="n">
        <v>2.4</v>
      </c>
      <c r="C24" s="3" t="s">
        <v>242</v>
      </c>
      <c r="D24" s="3" t="s">
        <v>220</v>
      </c>
      <c r="E24" s="3" t="n">
        <v>0.487662180260103</v>
      </c>
      <c r="F24" s="3" t="n">
        <v>0.419687959162365</v>
      </c>
      <c r="G24" s="3" t="n">
        <v>0.0345096131408944</v>
      </c>
      <c r="H24" s="3" t="n">
        <v>0.0052625073036203</v>
      </c>
      <c r="I24" s="3" t="n">
        <v>0.478266972148129</v>
      </c>
      <c r="J24" s="3" t="n">
        <v>0.534591416176324</v>
      </c>
      <c r="K24" s="3" t="n">
        <v>0.0129920249905798</v>
      </c>
      <c r="L24" s="168" t="n">
        <v>1.75607297162242E-029</v>
      </c>
      <c r="M24" s="3" t="n">
        <v>0.0283977938717397</v>
      </c>
      <c r="N24" s="3" t="n">
        <v>0</v>
      </c>
      <c r="O24" s="3" t="n">
        <v>0.00722285671231662</v>
      </c>
      <c r="P24" s="3" t="n">
        <v>0</v>
      </c>
      <c r="Q24" s="3" t="n">
        <v>0.0242897910775365</v>
      </c>
      <c r="R24" s="168" t="n">
        <v>1.40485837729794E-028</v>
      </c>
      <c r="S24" s="3" t="n">
        <v>0.0122126209275374</v>
      </c>
      <c r="T24" s="3" t="n">
        <v>0</v>
      </c>
      <c r="U24" s="3" t="n">
        <v>0.0445808911297071</v>
      </c>
      <c r="V24" s="3" t="n">
        <v>0</v>
      </c>
      <c r="W24" s="168" t="n">
        <v>3.77421393557962E-006</v>
      </c>
      <c r="X24" s="3" t="n">
        <v>0.0012120574599445</v>
      </c>
      <c r="Y24" s="168" t="n">
        <v>6.18663130362325E-007</v>
      </c>
      <c r="Z24" s="3" t="n">
        <v>0.00107096414464775</v>
      </c>
      <c r="AA24" s="168" t="n">
        <v>4.68956063884034E-006</v>
      </c>
      <c r="AB24" s="3" t="n">
        <v>0.00419425446670848</v>
      </c>
      <c r="AC24" s="3" t="n">
        <v>0.107653829686232</v>
      </c>
      <c r="AD24" s="3" t="n">
        <v>0.00410111279927578</v>
      </c>
      <c r="AE24" s="3" t="n">
        <v>0.149447855060155</v>
      </c>
      <c r="AF24" s="3" t="n">
        <v>0.00202814169275335</v>
      </c>
      <c r="AG24" s="168" t="n">
        <v>8.03866411570324E-033</v>
      </c>
      <c r="AH24" s="3" t="n">
        <v>0.00322474163478283</v>
      </c>
      <c r="AI24" s="3" t="n">
        <v>0</v>
      </c>
      <c r="AJ24" s="3" t="n">
        <v>0.00153332142536259</v>
      </c>
      <c r="AK24" s="168" t="n">
        <v>2.10728756594691E-028</v>
      </c>
      <c r="AL24" s="168" t="n">
        <v>5.94725972753669E-006</v>
      </c>
      <c r="AM24" s="168" t="n">
        <v>0.000383674506842248</v>
      </c>
      <c r="AN24" s="168" t="n">
        <v>7.61536414584818E-005</v>
      </c>
      <c r="AO24" s="3" t="n">
        <v>0.00144724021011871</v>
      </c>
      <c r="AP24" s="168" t="n">
        <v>8.38166077391292E-007</v>
      </c>
      <c r="AQ24" s="168" t="n">
        <v>0.000978232682436242</v>
      </c>
      <c r="AR24" s="3" t="n">
        <v>0.0340726192434782</v>
      </c>
      <c r="AS24" s="3" t="n">
        <v>0.464365865504359</v>
      </c>
      <c r="AT24" s="168" t="n">
        <v>0.000469127405796756</v>
      </c>
      <c r="AU24" s="168" t="n">
        <v>9.58814084057622E-008</v>
      </c>
      <c r="AV24" s="168" t="n">
        <v>2.1677974949319E-007</v>
      </c>
      <c r="AW24" s="168" t="n">
        <v>1.12717666668723E-008</v>
      </c>
      <c r="AX24" s="168" t="n">
        <v>5.56517708946565E-005</v>
      </c>
      <c r="AY24" s="168" t="n">
        <v>6.22307873294392E-005</v>
      </c>
      <c r="AZ24" s="168" t="n">
        <v>1.29301721981317E-042</v>
      </c>
      <c r="BA24" s="168" t="n">
        <v>2.55581996753521E-006</v>
      </c>
      <c r="BB24" s="168" t="n">
        <v>2.88987099449338E-006</v>
      </c>
      <c r="BC24" s="168" t="n">
        <v>3.21740364840849E-006</v>
      </c>
      <c r="BD24" s="168" t="n">
        <v>2.95492321944615E-005</v>
      </c>
      <c r="BE24" s="168" t="n">
        <v>2.57178005114066E-005</v>
      </c>
      <c r="BF24" s="168" t="n">
        <v>1.97378410543389E-005</v>
      </c>
      <c r="BG24" s="3" t="n">
        <v>0.0167685584628995</v>
      </c>
      <c r="BH24" s="3" t="n">
        <v>0.0144421592419977</v>
      </c>
      <c r="BI24" s="3" t="n">
        <v>0.0110466416249067</v>
      </c>
      <c r="BJ24" s="168" t="n">
        <v>4.39521320927403E-006</v>
      </c>
      <c r="BK24" s="168" t="n">
        <v>1.04265362521718E-006</v>
      </c>
      <c r="BL24" s="168" t="n">
        <v>2.76268561929683E-005</v>
      </c>
      <c r="BM24" s="168" t="n">
        <v>2.21986622676636E-006</v>
      </c>
      <c r="BN24" s="168" t="n">
        <v>9.40356263232615E-006</v>
      </c>
      <c r="BO24" s="168" t="n">
        <v>1.09592579071356E-005</v>
      </c>
      <c r="BP24" s="3" t="n">
        <v>0.00122210588515384</v>
      </c>
      <c r="BQ24" s="3" t="n">
        <v>0.00345961824098475</v>
      </c>
      <c r="BR24" s="3" t="n">
        <v>0.00650041183974334</v>
      </c>
      <c r="BS24" s="169"/>
      <c r="BT24" s="169"/>
      <c r="BU24" s="169"/>
      <c r="BV24" s="169"/>
      <c r="BW24" s="169"/>
      <c r="BX24" s="169"/>
      <c r="BY24" s="169"/>
    </row>
    <row r="25" customFormat="false" ht="12.75" hidden="true" customHeight="false" outlineLevel="0" collapsed="false">
      <c r="A25" s="3" t="n">
        <v>2</v>
      </c>
      <c r="B25" s="3" t="n">
        <v>2.4</v>
      </c>
      <c r="C25" s="3" t="s">
        <v>243</v>
      </c>
      <c r="D25" s="3" t="s">
        <v>220</v>
      </c>
      <c r="E25" s="3" t="n">
        <v>0.412215957889086</v>
      </c>
      <c r="F25" s="3" t="n">
        <v>0.340529797979666</v>
      </c>
      <c r="G25" s="3" t="n">
        <v>0.0197580698139847</v>
      </c>
      <c r="H25" s="3" t="n">
        <v>0.00732398758187542</v>
      </c>
      <c r="I25" s="3" t="n">
        <v>0.381792917772214</v>
      </c>
      <c r="J25" s="3" t="n">
        <v>0.439707650236643</v>
      </c>
      <c r="K25" s="3" t="n">
        <v>0.016508432051452</v>
      </c>
      <c r="L25" s="168" t="n">
        <v>1.31705472871681E-029</v>
      </c>
      <c r="M25" s="3" t="n">
        <v>0.0381991329275349</v>
      </c>
      <c r="N25" s="3" t="n">
        <v>0</v>
      </c>
      <c r="O25" s="3" t="n">
        <v>0.00861624629492647</v>
      </c>
      <c r="P25" s="3" t="n">
        <v>0</v>
      </c>
      <c r="Q25" s="3" t="n">
        <v>0.0233494251797161</v>
      </c>
      <c r="R25" s="168" t="n">
        <v>3.51214594324485E-029</v>
      </c>
      <c r="S25" s="3" t="n">
        <v>0.011644998165216</v>
      </c>
      <c r="T25" s="3" t="n">
        <v>0</v>
      </c>
      <c r="U25" s="3" t="n">
        <v>0.0487690914253628</v>
      </c>
      <c r="V25" s="3" t="n">
        <v>0</v>
      </c>
      <c r="W25" s="168" t="n">
        <v>4.18605174195634E-006</v>
      </c>
      <c r="X25" s="168" t="n">
        <v>0.000392046052589278</v>
      </c>
      <c r="Y25" s="168" t="n">
        <v>3.36403057391418E-007</v>
      </c>
      <c r="Z25" s="168" t="n">
        <v>0.000398560398961957</v>
      </c>
      <c r="AA25" s="168" t="n">
        <v>3.04535467413042E-006</v>
      </c>
      <c r="AB25" s="168" t="n">
        <v>0.000686713662960786</v>
      </c>
      <c r="AC25" s="3" t="n">
        <v>0.103514151251462</v>
      </c>
      <c r="AD25" s="3" t="n">
        <v>0.00415081487536165</v>
      </c>
      <c r="AE25" s="3" t="n">
        <v>0.106237345947824</v>
      </c>
      <c r="AF25" s="3" t="n">
        <v>0.00284222051884046</v>
      </c>
      <c r="AG25" s="168" t="n">
        <v>9.64639693884389E-033</v>
      </c>
      <c r="AH25" s="3" t="n">
        <v>0.00354732266666654</v>
      </c>
      <c r="AI25" s="3" t="n">
        <v>0</v>
      </c>
      <c r="AJ25" s="3" t="n">
        <v>0.00148182374492758</v>
      </c>
      <c r="AK25" s="168" t="n">
        <v>2.10728756594691E-028</v>
      </c>
      <c r="AL25" s="168" t="n">
        <v>6.93737739797204E-006</v>
      </c>
      <c r="AM25" s="168" t="n">
        <v>0.000350235578294526</v>
      </c>
      <c r="AN25" s="168" t="n">
        <v>5.17430220277524E-005</v>
      </c>
      <c r="AO25" s="168" t="n">
        <v>0.000128877709414121</v>
      </c>
      <c r="AP25" s="168" t="n">
        <v>9.88601972101477E-007</v>
      </c>
      <c r="AQ25" s="168" t="n">
        <v>0.000449351826819849</v>
      </c>
      <c r="AR25" s="3" t="n">
        <v>0.0252367598260814</v>
      </c>
      <c r="AS25" s="3" t="n">
        <v>0.24926111020216</v>
      </c>
      <c r="AT25" s="168" t="n">
        <v>0.000588973164492832</v>
      </c>
      <c r="AU25" s="168" t="n">
        <v>6.53509193476931E-008</v>
      </c>
      <c r="AV25" s="168" t="n">
        <v>5.8187312688473E-007</v>
      </c>
      <c r="AW25" s="168" t="n">
        <v>5.269498318867E-008</v>
      </c>
      <c r="AX25" s="168" t="n">
        <v>3.79314413604275E-005</v>
      </c>
      <c r="AY25" s="168" t="n">
        <v>0.000167042943904217</v>
      </c>
      <c r="AZ25" s="168" t="n">
        <v>6.04483171829918E-042</v>
      </c>
      <c r="BA25" s="168" t="n">
        <v>2.02503908688488E-006</v>
      </c>
      <c r="BB25" s="168" t="n">
        <v>2.41726775623084E-006</v>
      </c>
      <c r="BC25" s="168" t="n">
        <v>3.16668975739247E-006</v>
      </c>
      <c r="BD25" s="168" t="n">
        <v>1.40687016737993E-005</v>
      </c>
      <c r="BE25" s="168" t="n">
        <v>1.71345905260021E-005</v>
      </c>
      <c r="BF25" s="168" t="n">
        <v>1.621501858865E-005</v>
      </c>
      <c r="BG25" s="3" t="n">
        <v>0.00791894624653204</v>
      </c>
      <c r="BH25" s="3" t="n">
        <v>0.00957347383696635</v>
      </c>
      <c r="BI25" s="3" t="n">
        <v>0.00903680456700026</v>
      </c>
      <c r="BJ25" s="168" t="n">
        <v>1.30496102927641E-006</v>
      </c>
      <c r="BK25" s="168" t="n">
        <v>4.90059385217119E-007</v>
      </c>
      <c r="BL25" s="168" t="n">
        <v>4.11511101727474E-005</v>
      </c>
      <c r="BM25" s="168" t="n">
        <v>4.89583631513479E-007</v>
      </c>
      <c r="BN25" s="168" t="n">
        <v>1.34850162020062E-005</v>
      </c>
      <c r="BO25" s="168" t="n">
        <v>1.89073858935069E-005</v>
      </c>
      <c r="BP25" s="168" t="n">
        <v>0.000254066979429965</v>
      </c>
      <c r="BQ25" s="3" t="n">
        <v>0.00433034801742196</v>
      </c>
      <c r="BR25" s="3" t="n">
        <v>0.010724038482479</v>
      </c>
      <c r="BS25" s="169"/>
      <c r="BT25" s="169"/>
      <c r="BU25" s="169"/>
      <c r="BV25" s="169"/>
      <c r="BW25" s="169"/>
      <c r="BX25" s="169"/>
      <c r="BY25" s="169"/>
    </row>
    <row r="26" customFormat="false" ht="12.75" hidden="false" customHeight="false" outlineLevel="0" collapsed="false">
      <c r="A26" s="3" t="n">
        <v>1</v>
      </c>
      <c r="B26" s="3" t="n">
        <v>1.1</v>
      </c>
      <c r="C26" s="3" t="s">
        <v>244</v>
      </c>
      <c r="D26" s="3" t="s">
        <v>220</v>
      </c>
      <c r="E26" s="3" t="n">
        <v>0.011675988661</v>
      </c>
      <c r="F26" s="3" t="n">
        <v>0.00552689209329149</v>
      </c>
      <c r="G26" s="168" t="n">
        <v>0.000118032680581001</v>
      </c>
      <c r="H26" s="3" t="n">
        <v>0.00238059259057453</v>
      </c>
      <c r="I26" s="3" t="n">
        <v>0.00724177728516252</v>
      </c>
      <c r="J26" s="3" t="n">
        <v>0.0140720484528298</v>
      </c>
      <c r="K26" s="3" t="n">
        <v>0.0387050126363417</v>
      </c>
      <c r="L26" s="3" t="n">
        <v>0</v>
      </c>
      <c r="M26" s="3" t="n">
        <v>0.0482364770814845</v>
      </c>
      <c r="N26" s="3" t="n">
        <v>0</v>
      </c>
      <c r="O26" s="3" t="n">
        <v>0.0037222888946758</v>
      </c>
      <c r="P26" s="3" t="n">
        <v>0</v>
      </c>
      <c r="Q26" s="3" t="n">
        <v>0.0116497053231484</v>
      </c>
      <c r="R26" s="3" t="n">
        <v>0.00141134652801474</v>
      </c>
      <c r="S26" s="3" t="n">
        <v>0.0143022012861126</v>
      </c>
      <c r="T26" s="3" t="n">
        <v>0</v>
      </c>
      <c r="U26" s="3" t="n">
        <v>0.110336348441907</v>
      </c>
      <c r="V26" s="168" t="n">
        <v>6.5355558783253E-005</v>
      </c>
      <c r="W26" s="168" t="n">
        <v>9.13439392314533E-009</v>
      </c>
      <c r="X26" s="168" t="n">
        <v>0.000485087938701251</v>
      </c>
      <c r="Y26" s="168" t="n">
        <v>2.19997118048635E-008</v>
      </c>
      <c r="Z26" s="3" t="n">
        <v>0.00143139640846355</v>
      </c>
      <c r="AA26" s="168" t="n">
        <v>1.66748782569414E-009</v>
      </c>
      <c r="AB26" s="3" t="n">
        <v>0.00146058693751103</v>
      </c>
      <c r="AC26" s="3" t="n">
        <v>0.00137137718134958</v>
      </c>
      <c r="AD26" s="168" t="n">
        <v>0.00066779710034955</v>
      </c>
      <c r="AE26" s="3" t="n">
        <v>0.0021422913521483</v>
      </c>
      <c r="AF26" s="3" t="n">
        <v>0.00306201663773181</v>
      </c>
      <c r="AG26" s="168" t="n">
        <v>6.96998901626427E-008</v>
      </c>
      <c r="AH26" s="3" t="n">
        <v>0.00698646643773174</v>
      </c>
      <c r="AI26" s="168" t="n">
        <v>6.6118949054335E-005</v>
      </c>
      <c r="AJ26" s="168" t="n">
        <v>0.00074831917245385</v>
      </c>
      <c r="AK26" s="3" t="n">
        <v>0.001511855481644</v>
      </c>
      <c r="AL26" s="168" t="n">
        <v>5.13235754328793E-009</v>
      </c>
      <c r="AM26" s="168" t="n">
        <v>0.000919253745143506</v>
      </c>
      <c r="AN26" s="168" t="n">
        <v>1.25203900155098E-008</v>
      </c>
      <c r="AO26" s="3" t="n">
        <v>0.00563550198361559</v>
      </c>
      <c r="AP26" s="168" t="n">
        <v>8.20111293965174E-008</v>
      </c>
      <c r="AQ26" s="3" t="n">
        <v>0.00455732924919426</v>
      </c>
      <c r="AR26" s="168" t="n">
        <v>0.000682521679696853</v>
      </c>
      <c r="AS26" s="168" t="n">
        <v>0.000484409899121137</v>
      </c>
      <c r="AT26" s="168" t="n">
        <v>0.000788542091953769</v>
      </c>
      <c r="AU26" s="168" t="n">
        <v>3.52551932168861E-008</v>
      </c>
      <c r="AV26" s="168" t="n">
        <v>5.28026288360354E-006</v>
      </c>
      <c r="AW26" s="168" t="n">
        <v>1.28805998340329E-006</v>
      </c>
      <c r="AX26" s="168" t="n">
        <v>4.04349308296653E-042</v>
      </c>
      <c r="AY26" s="168" t="n">
        <v>6.14790821066968E-040</v>
      </c>
      <c r="AZ26" s="168" t="n">
        <v>1.47745040813605E-040</v>
      </c>
      <c r="BA26" s="168" t="n">
        <v>1.91620115233559E-005</v>
      </c>
      <c r="BB26" s="168" t="n">
        <v>2.39916233020991E-005</v>
      </c>
      <c r="BC26" s="168" t="n">
        <v>4.76290399337076E-005</v>
      </c>
      <c r="BD26" s="168" t="n">
        <v>1.82193315452211E-008</v>
      </c>
      <c r="BE26" s="168" t="n">
        <v>2.64941975598682E-008</v>
      </c>
      <c r="BF26" s="168" t="n">
        <v>9.46849851649514E-010</v>
      </c>
      <c r="BG26" s="168" t="n">
        <v>1.18192765535286E-005</v>
      </c>
      <c r="BH26" s="168" t="n">
        <v>1.63144871236333E-005</v>
      </c>
      <c r="BI26" s="168" t="n">
        <v>9.45880769645602E-007</v>
      </c>
      <c r="BJ26" s="168" t="n">
        <v>5.93334992779907E-006</v>
      </c>
      <c r="BK26" s="168" t="n">
        <v>3.07708081640836E-006</v>
      </c>
      <c r="BL26" s="168" t="n">
        <v>1.25039443495183E-007</v>
      </c>
      <c r="BM26" s="168" t="n">
        <v>3.14740556487328E-008</v>
      </c>
      <c r="BN26" s="168" t="n">
        <v>3.47606286209918E-009</v>
      </c>
      <c r="BO26" s="168" t="n">
        <v>1.84241129096635E-008</v>
      </c>
      <c r="BP26" s="168" t="n">
        <v>1.13622810273514E-005</v>
      </c>
      <c r="BQ26" s="168" t="n">
        <v>1.19101312762619E-006</v>
      </c>
      <c r="BR26" s="168" t="n">
        <v>6.4619644604936E-006</v>
      </c>
      <c r="BS26" s="169"/>
      <c r="BT26" s="169"/>
      <c r="BU26" s="169"/>
      <c r="BV26" s="169"/>
      <c r="BW26" s="169"/>
      <c r="BX26" s="169"/>
      <c r="BY26" s="169"/>
    </row>
    <row r="27" customFormat="false" ht="12.75" hidden="false" customHeight="false" outlineLevel="0" collapsed="false">
      <c r="A27" s="3" t="n">
        <v>1</v>
      </c>
      <c r="B27" s="3" t="n">
        <v>1.2</v>
      </c>
      <c r="C27" s="3" t="s">
        <v>244</v>
      </c>
      <c r="D27" s="3" t="s">
        <v>220</v>
      </c>
      <c r="E27" s="3" t="n">
        <v>0.747014119223146</v>
      </c>
      <c r="F27" s="3" t="n">
        <v>0.739371194277112</v>
      </c>
      <c r="G27" s="3" t="n">
        <v>0.963099589050706</v>
      </c>
      <c r="H27" s="168" t="n">
        <v>0.000774233614120318</v>
      </c>
      <c r="I27" s="3" t="n">
        <v>0.0163423193416195</v>
      </c>
      <c r="J27" s="3" t="n">
        <v>0.0138167350262187</v>
      </c>
      <c r="K27" s="3" t="n">
        <v>0.00799087073495352</v>
      </c>
      <c r="L27" s="3" t="n">
        <v>0</v>
      </c>
      <c r="M27" s="3" t="n">
        <v>0.0244530097113357</v>
      </c>
      <c r="N27" s="3" t="n">
        <v>0</v>
      </c>
      <c r="O27" s="3" t="n">
        <v>0.00930747524328814</v>
      </c>
      <c r="P27" s="3" t="n">
        <v>0</v>
      </c>
      <c r="Q27" s="3" t="n">
        <v>0.0307675644585688</v>
      </c>
      <c r="R27" s="168" t="n">
        <v>0.000170763376977068</v>
      </c>
      <c r="S27" s="3" t="n">
        <v>0.00999203952986428</v>
      </c>
      <c r="T27" s="3" t="n">
        <v>0</v>
      </c>
      <c r="U27" s="3" t="n">
        <v>0.0266581600173692</v>
      </c>
      <c r="V27" s="168" t="n">
        <v>0.000326061366240757</v>
      </c>
      <c r="W27" s="168" t="n">
        <v>2.75194097736284E-006</v>
      </c>
      <c r="X27" s="3" t="n">
        <v>0.0132872833522529</v>
      </c>
      <c r="Y27" s="168" t="n">
        <v>3.00140559902952E-007</v>
      </c>
      <c r="Z27" s="3" t="n">
        <v>0.0147231795367758</v>
      </c>
      <c r="AA27" s="168" t="n">
        <v>1.87525895898849E-007</v>
      </c>
      <c r="AB27" s="3" t="n">
        <v>0.0136948564322971</v>
      </c>
      <c r="AC27" s="3" t="n">
        <v>0.21674832314051</v>
      </c>
      <c r="AD27" s="3" t="n">
        <v>0.0269715801270824</v>
      </c>
      <c r="AE27" s="3" t="n">
        <v>0.0714072650812498</v>
      </c>
      <c r="AF27" s="3" t="n">
        <v>0.00144481612106438</v>
      </c>
      <c r="AG27" s="168" t="n">
        <v>6.25242904377535E-006</v>
      </c>
      <c r="AH27" s="3" t="n">
        <v>0.00158932321736106</v>
      </c>
      <c r="AI27" s="168" t="n">
        <v>0.000350794144761827</v>
      </c>
      <c r="AJ27" s="3" t="n">
        <v>0.00200773555578672</v>
      </c>
      <c r="AK27" s="168" t="n">
        <v>0.000117089985305791</v>
      </c>
      <c r="AL27" s="168" t="n">
        <v>8.78759443835624E-006</v>
      </c>
      <c r="AM27" s="3" t="n">
        <v>0.00374980628194351</v>
      </c>
      <c r="AN27" s="168" t="n">
        <v>1.25613296952775E-005</v>
      </c>
      <c r="AO27" s="3" t="n">
        <v>0.00666188704531965</v>
      </c>
      <c r="AP27" s="168" t="n">
        <v>8.32630567807837E-006</v>
      </c>
      <c r="AQ27" s="168" t="n">
        <v>0.000654277850590094</v>
      </c>
      <c r="AR27" s="3" t="n">
        <v>0.137468173928708</v>
      </c>
      <c r="AS27" s="3" t="n">
        <v>0.244118172782169</v>
      </c>
      <c r="AT27" s="3" t="n">
        <v>0.0204593391787039</v>
      </c>
      <c r="AU27" s="168" t="n">
        <v>6.63503793220068E-007</v>
      </c>
      <c r="AV27" s="168" t="n">
        <v>8.9576747805557E-005</v>
      </c>
      <c r="AW27" s="168" t="n">
        <v>4.96981946760305E-007</v>
      </c>
      <c r="AX27" s="168" t="n">
        <v>7.61024498619529E-041</v>
      </c>
      <c r="AY27" s="168" t="n">
        <v>1.04361346727146E-038</v>
      </c>
      <c r="AZ27" s="168" t="n">
        <v>5.7013334048135E-041</v>
      </c>
      <c r="BA27" s="168" t="n">
        <v>6.20615888211268E-005</v>
      </c>
      <c r="BB27" s="168" t="n">
        <v>7.66018634815339E-005</v>
      </c>
      <c r="BC27" s="168" t="n">
        <v>0.000109924490377951</v>
      </c>
      <c r="BD27" s="168" t="n">
        <v>0.000407020381899653</v>
      </c>
      <c r="BE27" s="168" t="n">
        <v>0.000361038530054829</v>
      </c>
      <c r="BF27" s="168" t="n">
        <v>0.000277861667444002</v>
      </c>
      <c r="BG27" s="3" t="n">
        <v>0.228652724508252</v>
      </c>
      <c r="BH27" s="3" t="n">
        <v>0.199856387381528</v>
      </c>
      <c r="BI27" s="3" t="n">
        <v>0.152181428206507</v>
      </c>
      <c r="BJ27" s="168" t="n">
        <v>4.63973536101075E-005</v>
      </c>
      <c r="BK27" s="168" t="n">
        <v>3.45385704377194E-006</v>
      </c>
      <c r="BL27" s="168" t="n">
        <v>1.54424277988668E-006</v>
      </c>
      <c r="BM27" s="168" t="n">
        <v>9.63234732708699E-006</v>
      </c>
      <c r="BN27" s="168" t="n">
        <v>9.29553461384592E-006</v>
      </c>
      <c r="BO27" s="168" t="n">
        <v>0.000321608519137613</v>
      </c>
      <c r="BP27" s="3" t="n">
        <v>0.00700784784841626</v>
      </c>
      <c r="BQ27" s="3" t="n">
        <v>0.0023433601604863</v>
      </c>
      <c r="BR27" s="3" t="n">
        <v>0.105544530914807</v>
      </c>
      <c r="BS27" s="169"/>
      <c r="BT27" s="169"/>
      <c r="BU27" s="169"/>
      <c r="BV27" s="169"/>
      <c r="BW27" s="169"/>
      <c r="BX27" s="169"/>
      <c r="BY27" s="169"/>
    </row>
    <row r="28" customFormat="false" ht="12.75" hidden="false" customHeight="false" outlineLevel="0" collapsed="false">
      <c r="A28" s="3" t="n">
        <v>1</v>
      </c>
      <c r="B28" s="3" t="n">
        <v>1.3</v>
      </c>
      <c r="C28" s="3" t="s">
        <v>244</v>
      </c>
      <c r="D28" s="3" t="s">
        <v>220</v>
      </c>
      <c r="E28" s="3" t="n">
        <v>1.58149794866857</v>
      </c>
      <c r="F28" s="3" t="n">
        <v>0.911363940211407</v>
      </c>
      <c r="G28" s="3" t="n">
        <v>0.235587223384686</v>
      </c>
      <c r="H28" s="3" t="n">
        <v>0.123844341369665</v>
      </c>
      <c r="I28" s="3" t="n">
        <v>1.9383371792203</v>
      </c>
      <c r="J28" s="3" t="n">
        <v>2.94915171771488</v>
      </c>
      <c r="K28" s="3" t="n">
        <v>0.0121796024071769</v>
      </c>
      <c r="L28" s="3" t="n">
        <v>0</v>
      </c>
      <c r="M28" s="3" t="n">
        <v>0.0649630682571691</v>
      </c>
      <c r="N28" s="3" t="n">
        <v>0</v>
      </c>
      <c r="O28" s="3" t="n">
        <v>0.0287300838361091</v>
      </c>
      <c r="P28" s="3" t="n">
        <v>0</v>
      </c>
      <c r="Q28" s="3" t="n">
        <v>0.0673394793895831</v>
      </c>
      <c r="R28" s="168" t="n">
        <v>5.46731915427519E-007</v>
      </c>
      <c r="S28" s="3" t="n">
        <v>0.0117370574287049</v>
      </c>
      <c r="T28" s="3" t="n">
        <v>0</v>
      </c>
      <c r="U28" s="3" t="n">
        <v>0.0256652310627271</v>
      </c>
      <c r="V28" s="168" t="n">
        <v>0.000731201967409541</v>
      </c>
      <c r="W28" s="168" t="n">
        <v>7.54416445534942E-005</v>
      </c>
      <c r="X28" s="3" t="n">
        <v>0.096868985085401</v>
      </c>
      <c r="Y28" s="168" t="n">
        <v>5.2618248023356E-005</v>
      </c>
      <c r="Z28" s="3" t="n">
        <v>0.119412962165176</v>
      </c>
      <c r="AA28" s="168" t="n">
        <v>0.000147722219877869</v>
      </c>
      <c r="AB28" s="3" t="n">
        <v>0.080568226053558</v>
      </c>
      <c r="AC28" s="3" t="n">
        <v>0.74664477454539</v>
      </c>
      <c r="AD28" s="3" t="n">
        <v>0.0427277381423599</v>
      </c>
      <c r="AE28" s="3" t="n">
        <v>0.368000475600925</v>
      </c>
      <c r="AF28" s="3" t="n">
        <v>0.00466356629884314</v>
      </c>
      <c r="AG28" s="168" t="n">
        <v>1.10724065763947E-005</v>
      </c>
      <c r="AH28" s="3" t="n">
        <v>0.00172976291875</v>
      </c>
      <c r="AI28" s="168" t="n">
        <v>0.000897845476630564</v>
      </c>
      <c r="AJ28" s="3" t="n">
        <v>0.00469981470624969</v>
      </c>
      <c r="AK28" s="168" t="n">
        <v>1.34554619738699E-006</v>
      </c>
      <c r="AL28" s="168" t="n">
        <v>1.86591428354406E-005</v>
      </c>
      <c r="AM28" s="3" t="n">
        <v>0.0106550684359527</v>
      </c>
      <c r="AN28" s="3" t="n">
        <v>0.00127951014390321</v>
      </c>
      <c r="AO28" s="3" t="n">
        <v>0.106132219535415</v>
      </c>
      <c r="AP28" s="168" t="n">
        <v>0.000907891758832666</v>
      </c>
      <c r="AQ28" s="3" t="n">
        <v>0.111619448739845</v>
      </c>
      <c r="AR28" s="3" t="n">
        <v>0.375885419159009</v>
      </c>
      <c r="AS28" s="3" t="n">
        <v>0.265984859669459</v>
      </c>
      <c r="AT28" s="3" t="n">
        <v>0.0214073151044001</v>
      </c>
      <c r="AU28" s="168" t="n">
        <v>2.83346178003275E-008</v>
      </c>
      <c r="AV28" s="168" t="n">
        <v>1.96190923849582E-006</v>
      </c>
      <c r="AW28" s="168" t="n">
        <v>3.77118781413642E-007</v>
      </c>
      <c r="AX28" s="168" t="n">
        <v>2.61121168759122E-006</v>
      </c>
      <c r="AY28" s="168" t="n">
        <v>0.000178560056617587</v>
      </c>
      <c r="AZ28" s="168" t="n">
        <v>3.64274692687086E-005</v>
      </c>
      <c r="BA28" s="168" t="n">
        <v>8.92563094374053E-007</v>
      </c>
      <c r="BB28" s="168" t="n">
        <v>6.72445693585212E-006</v>
      </c>
      <c r="BC28" s="168" t="n">
        <v>1.20911049592652E-006</v>
      </c>
      <c r="BD28" s="168" t="n">
        <v>2.06750623100939E-006</v>
      </c>
      <c r="BE28" s="168" t="n">
        <v>2.86953248524157E-006</v>
      </c>
      <c r="BF28" s="168" t="n">
        <v>9.89823824181288E-006</v>
      </c>
      <c r="BG28" s="3" t="n">
        <v>0.00114591200999085</v>
      </c>
      <c r="BH28" s="3" t="n">
        <v>0.00142425849774189</v>
      </c>
      <c r="BI28" s="3" t="n">
        <v>0.00556309981609913</v>
      </c>
      <c r="BJ28" s="168" t="n">
        <v>7.77411886759648E-007</v>
      </c>
      <c r="BK28" s="168" t="n">
        <v>9.62203696760447E-007</v>
      </c>
      <c r="BL28" s="168" t="n">
        <v>0.000198991587287926</v>
      </c>
      <c r="BM28" s="168" t="n">
        <v>1.57728114382821E-007</v>
      </c>
      <c r="BN28" s="168" t="n">
        <v>0.00024017679063729</v>
      </c>
      <c r="BO28" s="168" t="n">
        <v>8.36903518217146E-006</v>
      </c>
      <c r="BP28" s="168" t="n">
        <v>3.3671391337491E-005</v>
      </c>
      <c r="BQ28" s="3" t="n">
        <v>0.0792382196347431</v>
      </c>
      <c r="BR28" s="3" t="n">
        <v>0.0115851362018746</v>
      </c>
      <c r="BS28" s="169"/>
      <c r="BT28" s="169"/>
      <c r="BU28" s="169"/>
      <c r="BV28" s="169"/>
      <c r="BW28" s="169"/>
      <c r="BX28" s="169"/>
      <c r="BY28" s="169"/>
    </row>
    <row r="29" customFormat="false" ht="12.75" hidden="false" customHeight="false" outlineLevel="0" collapsed="false">
      <c r="A29" s="3" t="n">
        <v>1</v>
      </c>
      <c r="B29" s="3" t="n">
        <v>1.4</v>
      </c>
      <c r="C29" s="3" t="s">
        <v>244</v>
      </c>
      <c r="D29" s="3" t="s">
        <v>220</v>
      </c>
      <c r="E29" s="3" t="n">
        <v>1.06099118030848</v>
      </c>
      <c r="F29" s="3" t="n">
        <v>0.349556717529508</v>
      </c>
      <c r="G29" s="3" t="n">
        <v>0.0509068944284773</v>
      </c>
      <c r="H29" s="3" t="n">
        <v>0.29089093373625</v>
      </c>
      <c r="I29" s="3" t="n">
        <v>0.231007710702536</v>
      </c>
      <c r="J29" s="3" t="n">
        <v>0.699186274586548</v>
      </c>
      <c r="K29" s="3" t="n">
        <v>0.00797501589258991</v>
      </c>
      <c r="L29" s="3" t="n">
        <v>0</v>
      </c>
      <c r="M29" s="3" t="n">
        <v>0.031175308328013</v>
      </c>
      <c r="N29" s="3" t="n">
        <v>0</v>
      </c>
      <c r="O29" s="3" t="n">
        <v>0.00688603508495795</v>
      </c>
      <c r="P29" s="3" t="n">
        <v>0</v>
      </c>
      <c r="Q29" s="3" t="n">
        <v>0.00634611651689649</v>
      </c>
      <c r="R29" s="168" t="n">
        <v>0.000704355436889378</v>
      </c>
      <c r="S29" s="3" t="n">
        <v>0.00179531746273305</v>
      </c>
      <c r="T29" s="3" t="n">
        <v>0</v>
      </c>
      <c r="U29" s="3" t="n">
        <v>0.0124140828169024</v>
      </c>
      <c r="V29" s="168" t="n">
        <v>0.000984004284014636</v>
      </c>
      <c r="W29" s="168" t="n">
        <v>5.92091142196726E-006</v>
      </c>
      <c r="X29" s="168" t="n">
        <v>0.000268844658064735</v>
      </c>
      <c r="Y29" s="168" t="n">
        <v>6.00575177801103E-007</v>
      </c>
      <c r="Z29" s="168" t="n">
        <v>0.000689136490666062</v>
      </c>
      <c r="AA29" s="168" t="n">
        <v>8.2976735293973E-007</v>
      </c>
      <c r="AB29" s="3" t="n">
        <v>0.00208209256715358</v>
      </c>
      <c r="AC29" s="3" t="n">
        <v>0.254850790900704</v>
      </c>
      <c r="AD29" s="3" t="n">
        <v>0.148488374292593</v>
      </c>
      <c r="AE29" s="3" t="n">
        <v>0.0401297858057893</v>
      </c>
      <c r="AF29" s="3" t="n">
        <v>0.00249436288634261</v>
      </c>
      <c r="AG29" s="168" t="n">
        <v>2.25722738445814E-006</v>
      </c>
      <c r="AH29" s="3" t="n">
        <v>0.00136435796874994</v>
      </c>
      <c r="AI29" s="3" t="n">
        <v>0.00106577764570083</v>
      </c>
      <c r="AJ29" s="3" t="n">
        <v>0.00372148835578737</v>
      </c>
      <c r="AK29" s="168" t="n">
        <v>0.000757635056283719</v>
      </c>
      <c r="AL29" s="168" t="n">
        <v>7.13024381155799E-005</v>
      </c>
      <c r="AM29" s="3" t="n">
        <v>0.00285374305205382</v>
      </c>
      <c r="AN29" s="168" t="n">
        <v>1.78964564241913E-005</v>
      </c>
      <c r="AO29" s="168" t="n">
        <v>0.000794152874167855</v>
      </c>
      <c r="AP29" s="168" t="n">
        <v>6.13891228528687E-005</v>
      </c>
      <c r="AQ29" s="168" t="n">
        <v>0.000693298105741122</v>
      </c>
      <c r="AR29" s="3" t="n">
        <v>0.329023298713243</v>
      </c>
      <c r="AS29" s="3" t="n">
        <v>0.0346275626807852</v>
      </c>
      <c r="AT29" s="3" t="n">
        <v>0.25877097709194</v>
      </c>
      <c r="AU29" s="168" t="n">
        <v>4.97376345903632E-007</v>
      </c>
      <c r="AV29" s="168" t="n">
        <v>3.59847324989904E-008</v>
      </c>
      <c r="AW29" s="168" t="n">
        <v>1.16471965600197E-006</v>
      </c>
      <c r="AX29" s="168" t="n">
        <v>0.000145222383468024</v>
      </c>
      <c r="AY29" s="168" t="n">
        <v>1.03267441928466E-005</v>
      </c>
      <c r="AZ29" s="168" t="n">
        <v>0.000345138533313962</v>
      </c>
      <c r="BA29" s="168" t="n">
        <v>3.13694628592963E-006</v>
      </c>
      <c r="BB29" s="168" t="n">
        <v>5.15434873446918E-006</v>
      </c>
      <c r="BC29" s="168" t="n">
        <v>8.22453290600305E-006</v>
      </c>
      <c r="BD29" s="168" t="n">
        <v>1.00188168680722E-005</v>
      </c>
      <c r="BE29" s="168" t="n">
        <v>1.84966214628979E-005</v>
      </c>
      <c r="BF29" s="168" t="n">
        <v>1.48134263702421E-006</v>
      </c>
      <c r="BG29" s="3" t="n">
        <v>0.0055372715954314</v>
      </c>
      <c r="BH29" s="3" t="n">
        <v>0.010183129982263</v>
      </c>
      <c r="BI29" s="168" t="n">
        <v>0.000720223457238964</v>
      </c>
      <c r="BJ29" s="168" t="n">
        <v>4.53350102953813E-006</v>
      </c>
      <c r="BK29" s="168" t="n">
        <v>4.43511905974433E-006</v>
      </c>
      <c r="BL29" s="168" t="n">
        <v>4.78320155043792E-006</v>
      </c>
      <c r="BM29" s="168" t="n">
        <v>6.7021415550546E-007</v>
      </c>
      <c r="BN29" s="168" t="n">
        <v>1.18694607713353E-005</v>
      </c>
      <c r="BO29" s="168" t="n">
        <v>1.36607700091721E-007</v>
      </c>
      <c r="BP29" s="168" t="n">
        <v>0.000358764218478784</v>
      </c>
      <c r="BQ29" s="3" t="n">
        <v>0.00425734190853614</v>
      </c>
      <c r="BR29" s="168" t="n">
        <v>2.49105104027035E-005</v>
      </c>
      <c r="BS29" s="169"/>
      <c r="BT29" s="169"/>
      <c r="BU29" s="169"/>
      <c r="BV29" s="169"/>
      <c r="BW29" s="169"/>
      <c r="BX29" s="169"/>
      <c r="BY29" s="169"/>
    </row>
    <row r="30" customFormat="false" ht="12.75" hidden="false" customHeight="false" outlineLevel="0" collapsed="false">
      <c r="A30" s="3" t="n">
        <v>2</v>
      </c>
      <c r="B30" s="3" t="n">
        <v>2.1</v>
      </c>
      <c r="C30" s="3" t="s">
        <v>244</v>
      </c>
      <c r="D30" s="3" t="s">
        <v>220</v>
      </c>
      <c r="E30" s="3" t="n">
        <v>0.0105160895711826</v>
      </c>
      <c r="F30" s="168" t="n">
        <v>0.000134436993995081</v>
      </c>
      <c r="G30" s="168" t="n">
        <v>1.63981016429492E-005</v>
      </c>
      <c r="H30" s="3" t="n">
        <v>0.0129950150842208</v>
      </c>
      <c r="I30" s="168" t="n">
        <v>0.000242382110711204</v>
      </c>
      <c r="J30" s="3" t="n">
        <v>0.00970328102335186</v>
      </c>
      <c r="K30" s="3" t="n">
        <v>0.0461352135918989</v>
      </c>
      <c r="L30" s="3" t="n">
        <v>0</v>
      </c>
      <c r="M30" s="3" t="n">
        <v>0.162529128301614</v>
      </c>
      <c r="N30" s="3" t="n">
        <v>0</v>
      </c>
      <c r="O30" s="3" t="n">
        <v>0.0738082819898087</v>
      </c>
      <c r="P30" s="3" t="n">
        <v>0</v>
      </c>
      <c r="Q30" s="3" t="n">
        <v>0.257789535625673</v>
      </c>
      <c r="R30" s="168" t="n">
        <v>0.000228396621372337</v>
      </c>
      <c r="S30" s="3" t="n">
        <v>0.0772735423687485</v>
      </c>
      <c r="T30" s="3" t="n">
        <v>0</v>
      </c>
      <c r="U30" s="3" t="n">
        <v>0.171343809912733</v>
      </c>
      <c r="V30" s="168" t="n">
        <v>0.000272347373720901</v>
      </c>
      <c r="W30" s="168" t="n">
        <v>1.38338328145362E-007</v>
      </c>
      <c r="X30" s="168" t="n">
        <v>0.000145988797513285</v>
      </c>
      <c r="Y30" s="168" t="n">
        <v>2.97365099629387E-007</v>
      </c>
      <c r="Z30" s="3" t="n">
        <v>0.00127134750338965</v>
      </c>
      <c r="AA30" s="168" t="n">
        <v>1.31412988482182E-007</v>
      </c>
      <c r="AB30" s="168" t="n">
        <v>0.00041057459322368</v>
      </c>
      <c r="AC30" s="3" t="n">
        <v>0.00324960370213203</v>
      </c>
      <c r="AD30" s="3" t="n">
        <v>0.00119391100796513</v>
      </c>
      <c r="AE30" s="168" t="n">
        <v>0.000176922754474498</v>
      </c>
      <c r="AF30" s="3" t="n">
        <v>0.0103302228557867</v>
      </c>
      <c r="AG30" s="168" t="n">
        <v>2.50066686607894E-007</v>
      </c>
      <c r="AH30" s="3" t="n">
        <v>0.0108911404613424</v>
      </c>
      <c r="AI30" s="168" t="n">
        <v>0.000214734418820537</v>
      </c>
      <c r="AJ30" s="3" t="n">
        <v>0.0163640281710652</v>
      </c>
      <c r="AK30" s="168" t="n">
        <v>0.000138732956608781</v>
      </c>
      <c r="AL30" s="168" t="n">
        <v>4.67311472252335E-008</v>
      </c>
      <c r="AM30" s="3" t="n">
        <v>0.00400014155007272</v>
      </c>
      <c r="AN30" s="168" t="n">
        <v>1.91517974136319E-006</v>
      </c>
      <c r="AO30" s="3" t="n">
        <v>0.0643749317730997</v>
      </c>
      <c r="AP30" s="168" t="n">
        <v>1.10237556338634E-006</v>
      </c>
      <c r="AQ30" s="3" t="n">
        <v>0.0119077161730049</v>
      </c>
      <c r="AR30" s="168" t="n">
        <v>1.14611153495289E-005</v>
      </c>
      <c r="AS30" s="168" t="n">
        <v>7.73588613161323E-005</v>
      </c>
      <c r="AT30" s="168" t="n">
        <v>3.98859605023131E-005</v>
      </c>
      <c r="AU30" s="168" t="n">
        <v>1.08390439585348E-008</v>
      </c>
      <c r="AV30" s="168" t="n">
        <v>9.33947827980682E-008</v>
      </c>
      <c r="AW30" s="168" t="n">
        <v>6.68887897707313E-007</v>
      </c>
      <c r="AX30" s="168" t="n">
        <v>1.24314217249979E-042</v>
      </c>
      <c r="AY30" s="168" t="n">
        <v>1.08723464198524E-041</v>
      </c>
      <c r="AZ30" s="168" t="n">
        <v>7.67142047684686E-041</v>
      </c>
      <c r="BA30" s="168" t="n">
        <v>5.36481296280146E-006</v>
      </c>
      <c r="BB30" s="168" t="n">
        <v>9.08525144418554E-006</v>
      </c>
      <c r="BC30" s="168" t="n">
        <v>2.73152983609119E-005</v>
      </c>
      <c r="BD30" s="168" t="n">
        <v>3.09304865001803E-008</v>
      </c>
      <c r="BE30" s="168" t="n">
        <v>2.90609509241058E-008</v>
      </c>
      <c r="BF30" s="168" t="n">
        <v>3.15825117781822E-009</v>
      </c>
      <c r="BG30" s="168" t="n">
        <v>1.76064887152543E-005</v>
      </c>
      <c r="BH30" s="168" t="n">
        <v>1.67655786786323E-005</v>
      </c>
      <c r="BI30" s="168" t="n">
        <v>2.15192158634897E-006</v>
      </c>
      <c r="BJ30" s="168" t="n">
        <v>3.57642826562653E-006</v>
      </c>
      <c r="BK30" s="168" t="n">
        <v>1.41656719361433E-006</v>
      </c>
      <c r="BL30" s="168" t="n">
        <v>1.54520081318917E-007</v>
      </c>
      <c r="BM30" s="168" t="n">
        <v>1.0829444992622E-010</v>
      </c>
      <c r="BN30" s="168" t="n">
        <v>4.2463582624149E-009</v>
      </c>
      <c r="BO30" s="168" t="n">
        <v>1.32974924790432E-010</v>
      </c>
      <c r="BP30" s="168" t="n">
        <v>3.87950493697902E-008</v>
      </c>
      <c r="BQ30" s="168" t="n">
        <v>1.467151368637E-006</v>
      </c>
      <c r="BR30" s="168" t="n">
        <v>4.57746594494444E-008</v>
      </c>
      <c r="BS30" s="169"/>
      <c r="BT30" s="169"/>
      <c r="BU30" s="169"/>
      <c r="BV30" s="169"/>
      <c r="BW30" s="169"/>
      <c r="BX30" s="169"/>
      <c r="BY30" s="169"/>
    </row>
    <row r="31" customFormat="false" ht="12.75" hidden="false" customHeight="false" outlineLevel="0" collapsed="false">
      <c r="A31" s="3" t="n">
        <v>2</v>
      </c>
      <c r="B31" s="3" t="n">
        <v>2.2</v>
      </c>
      <c r="C31" s="3" t="s">
        <v>244</v>
      </c>
      <c r="D31" s="3" t="s">
        <v>220</v>
      </c>
      <c r="E31" s="3" t="n">
        <v>0.543097172519358</v>
      </c>
      <c r="F31" s="3" t="n">
        <v>2.37244615512866</v>
      </c>
      <c r="G31" s="3" t="n">
        <v>4.08126664640629</v>
      </c>
      <c r="H31" s="3" t="n">
        <v>1.23477861613697</v>
      </c>
      <c r="I31" s="3" t="n">
        <v>12.6724270101013</v>
      </c>
      <c r="J31" s="3" t="n">
        <v>6.90460884454076</v>
      </c>
      <c r="K31" s="3" t="n">
        <v>0.00506791410092299</v>
      </c>
      <c r="L31" s="3" t="n">
        <v>0</v>
      </c>
      <c r="M31" s="3" t="n">
        <v>0.00873468186273554</v>
      </c>
      <c r="N31" s="3" t="n">
        <v>0</v>
      </c>
      <c r="O31" s="3" t="n">
        <v>0.00902281668217416</v>
      </c>
      <c r="P31" s="3" t="n">
        <v>0</v>
      </c>
      <c r="Q31" s="3" t="n">
        <v>0.0636199014099647</v>
      </c>
      <c r="R31" s="3" t="n">
        <v>0.00113347133539328</v>
      </c>
      <c r="S31" s="3" t="n">
        <v>0.0250810230673605</v>
      </c>
      <c r="T31" s="3" t="n">
        <v>0</v>
      </c>
      <c r="U31" s="3" t="n">
        <v>0.0452306264256838</v>
      </c>
      <c r="V31" s="168" t="n">
        <v>0.000293254405615406</v>
      </c>
      <c r="W31" s="168" t="n">
        <v>5.29201635002312E-006</v>
      </c>
      <c r="X31" s="3" t="n">
        <v>0.0497771658862963</v>
      </c>
      <c r="Y31" s="168" t="n">
        <v>4.49927477011107E-005</v>
      </c>
      <c r="Z31" s="3" t="n">
        <v>0.0461164447530613</v>
      </c>
      <c r="AA31" s="168" t="n">
        <v>8.12764332515498E-005</v>
      </c>
      <c r="AB31" s="3" t="n">
        <v>0.0222029200857582</v>
      </c>
      <c r="AC31" s="3" t="n">
        <v>0.189929645587741</v>
      </c>
      <c r="AD31" s="3" t="n">
        <v>0.199328314936068</v>
      </c>
      <c r="AE31" s="3" t="n">
        <v>0.180796731775242</v>
      </c>
      <c r="AF31" s="168" t="n">
        <v>0.000195464351620208</v>
      </c>
      <c r="AG31" s="168" t="n">
        <v>1.57322564278311E-005</v>
      </c>
      <c r="AH31" s="3" t="n">
        <v>0.00271201005208331</v>
      </c>
      <c r="AI31" s="168" t="n">
        <v>0.000294008659475868</v>
      </c>
      <c r="AJ31" s="168" t="n">
        <v>0.000858627786342389</v>
      </c>
      <c r="AK31" s="168" t="n">
        <v>0.00086657633966911</v>
      </c>
      <c r="AL31" s="168" t="n">
        <v>3.52308314105749E-005</v>
      </c>
      <c r="AM31" s="3" t="n">
        <v>0.0278869652478543</v>
      </c>
      <c r="AN31" s="168" t="n">
        <v>2.00496868266894E-005</v>
      </c>
      <c r="AO31" s="3" t="n">
        <v>0.00162100065264784</v>
      </c>
      <c r="AP31" s="3" t="n">
        <v>0.00120176495120494</v>
      </c>
      <c r="AQ31" s="3" t="n">
        <v>0.0585335276209553</v>
      </c>
      <c r="AR31" s="3" t="n">
        <v>1.54844024353953</v>
      </c>
      <c r="AS31" s="3" t="n">
        <v>0.22437881270162</v>
      </c>
      <c r="AT31" s="3" t="n">
        <v>0.609369230811074</v>
      </c>
      <c r="AU31" s="168" t="n">
        <v>2.5470907946495E-007</v>
      </c>
      <c r="AV31" s="168" t="n">
        <v>9.3175544675327E-007</v>
      </c>
      <c r="AW31" s="168" t="n">
        <v>1.34061807869522E-007</v>
      </c>
      <c r="AX31" s="168" t="n">
        <v>0.000147820814239491</v>
      </c>
      <c r="AY31" s="168" t="n">
        <v>1.08472256063984E-040</v>
      </c>
      <c r="AZ31" s="168" t="n">
        <v>7.23332644022245E-005</v>
      </c>
      <c r="BA31" s="168" t="n">
        <v>0.000152204388115926</v>
      </c>
      <c r="BB31" s="168" t="n">
        <v>0.000175419986982606</v>
      </c>
      <c r="BC31" s="168" t="n">
        <v>0.000304962270260529</v>
      </c>
      <c r="BD31" s="168" t="n">
        <v>0.000751470835860468</v>
      </c>
      <c r="BE31" s="168" t="n">
        <v>0.000705007348756851</v>
      </c>
      <c r="BF31" s="168" t="n">
        <v>0.000950266764897476</v>
      </c>
      <c r="BG31" s="3" t="n">
        <v>0.421122597524957</v>
      </c>
      <c r="BH31" s="3" t="n">
        <v>0.39014321007009</v>
      </c>
      <c r="BI31" s="3" t="n">
        <v>0.526301704704671</v>
      </c>
      <c r="BJ31" s="168" t="n">
        <v>3.13292401689654E-005</v>
      </c>
      <c r="BK31" s="168" t="n">
        <v>1.16682004128824E-005</v>
      </c>
      <c r="BL31" s="168" t="n">
        <v>4.03838340908671E-005</v>
      </c>
      <c r="BM31" s="168" t="n">
        <v>6.87827726977106E-007</v>
      </c>
      <c r="BN31" s="168" t="n">
        <v>2.99583448447754E-007</v>
      </c>
      <c r="BO31" s="168" t="n">
        <v>1.68685354438333E-007</v>
      </c>
      <c r="BP31" s="3" t="n">
        <v>0.00124516942725996</v>
      </c>
      <c r="BQ31" s="168" t="n">
        <v>0.000260833160014841</v>
      </c>
      <c r="BR31" s="168" t="n">
        <v>0.000733505289775024</v>
      </c>
      <c r="BS31" s="169"/>
      <c r="BT31" s="169"/>
      <c r="BU31" s="169"/>
      <c r="BV31" s="169"/>
      <c r="BW31" s="169"/>
      <c r="BX31" s="169"/>
      <c r="BY31" s="169"/>
    </row>
    <row r="32" customFormat="false" ht="12.75" hidden="false" customHeight="false" outlineLevel="0" collapsed="false">
      <c r="A32" s="3" t="n">
        <v>2</v>
      </c>
      <c r="B32" s="3" t="n">
        <v>2.3</v>
      </c>
      <c r="C32" s="3" t="s">
        <v>244</v>
      </c>
      <c r="D32" s="3" t="s">
        <v>220</v>
      </c>
      <c r="E32" s="3" t="n">
        <v>0.944779787565605</v>
      </c>
      <c r="F32" s="3" t="n">
        <v>0.211427769988189</v>
      </c>
      <c r="G32" s="3" t="n">
        <v>0.220218127851121</v>
      </c>
      <c r="H32" s="3" t="n">
        <v>0.2631915509461</v>
      </c>
      <c r="I32" s="3" t="n">
        <v>0.017687672375434</v>
      </c>
      <c r="J32" s="3" t="n">
        <v>0.279476681825561</v>
      </c>
      <c r="K32" s="3" t="n">
        <v>0.00714540098425795</v>
      </c>
      <c r="L32" s="3" t="n">
        <v>0</v>
      </c>
      <c r="M32" s="3" t="n">
        <v>0.00335635737661787</v>
      </c>
      <c r="N32" s="3" t="n">
        <v>0</v>
      </c>
      <c r="O32" s="168" t="n">
        <v>0.000182636246064809</v>
      </c>
      <c r="P32" s="3" t="n">
        <v>0</v>
      </c>
      <c r="Q32" s="3" t="n">
        <v>0.00215445467152841</v>
      </c>
      <c r="R32" s="168" t="n">
        <v>7.16713812429129E-005</v>
      </c>
      <c r="S32" s="3" t="n">
        <v>0.00331736160208501</v>
      </c>
      <c r="T32" s="3" t="n">
        <v>0</v>
      </c>
      <c r="U32" s="3" t="n">
        <v>0.0264191012312406</v>
      </c>
      <c r="V32" s="168" t="n">
        <v>0.000263582840887125</v>
      </c>
      <c r="W32" s="168" t="n">
        <v>3.81316648266238E-006</v>
      </c>
      <c r="X32" s="3" t="n">
        <v>0.00108120254389819</v>
      </c>
      <c r="Y32" s="168" t="n">
        <v>2.89740397738436E-006</v>
      </c>
      <c r="Z32" s="3" t="n">
        <v>0.0013310982705376</v>
      </c>
      <c r="AA32" s="168" t="n">
        <v>1.64616528127342E-006</v>
      </c>
      <c r="AB32" s="3" t="n">
        <v>0.00610810008250337</v>
      </c>
      <c r="AC32" s="3" t="n">
        <v>0.103805032822444</v>
      </c>
      <c r="AD32" s="3" t="n">
        <v>0.00145723937939945</v>
      </c>
      <c r="AE32" s="3" t="n">
        <v>0.37867709146683</v>
      </c>
      <c r="AF32" s="168" t="n">
        <v>0.000280266903009053</v>
      </c>
      <c r="AG32" s="168" t="n">
        <v>1.60487314422892E-007</v>
      </c>
      <c r="AH32" s="3" t="n">
        <v>0.00283074441481519</v>
      </c>
      <c r="AI32" s="168" t="n">
        <v>0.000265213386429238</v>
      </c>
      <c r="AJ32" s="168" t="n">
        <v>0.000455643253009454</v>
      </c>
      <c r="AK32" s="168" t="n">
        <v>8.18563662326484E-005</v>
      </c>
      <c r="AL32" s="168" t="n">
        <v>4.21278550527846E-006</v>
      </c>
      <c r="AM32" s="168" t="n">
        <v>0.000247573080310321</v>
      </c>
      <c r="AN32" s="168" t="n">
        <v>7.01760032983555E-005</v>
      </c>
      <c r="AO32" s="3" t="n">
        <v>0.00162682256056712</v>
      </c>
      <c r="AP32" s="168" t="n">
        <v>6.15269033044712E-005</v>
      </c>
      <c r="AQ32" s="3" t="n">
        <v>0.00126364342723773</v>
      </c>
      <c r="AR32" s="3" t="n">
        <v>0.0322294604090272</v>
      </c>
      <c r="AS32" s="3" t="n">
        <v>0.447268668705789</v>
      </c>
      <c r="AT32" s="3" t="n">
        <v>0.0574249069682862</v>
      </c>
      <c r="AU32" s="168" t="n">
        <v>5.86983268750316E-008</v>
      </c>
      <c r="AV32" s="168" t="n">
        <v>1.04298765875533E-005</v>
      </c>
      <c r="AW32" s="168" t="n">
        <v>6.89952165420141E-006</v>
      </c>
      <c r="AX32" s="168" t="n">
        <v>5.40927836009102E-006</v>
      </c>
      <c r="AY32" s="3" t="n">
        <v>0.00299287801308395</v>
      </c>
      <c r="AZ32" s="3" t="n">
        <v>0.00372328219382541</v>
      </c>
      <c r="BA32" s="168" t="n">
        <v>1.32090392311087E-005</v>
      </c>
      <c r="BB32" s="168" t="n">
        <v>1.67469502428824E-005</v>
      </c>
      <c r="BC32" s="168" t="n">
        <v>4.19493991058335E-005</v>
      </c>
      <c r="BD32" s="168" t="n">
        <v>4.62029437053565E-005</v>
      </c>
      <c r="BE32" s="168" t="n">
        <v>3.53104449803104E-005</v>
      </c>
      <c r="BF32" s="168" t="n">
        <v>4.35232029663524E-005</v>
      </c>
      <c r="BG32" s="3" t="n">
        <v>0.0256227258543792</v>
      </c>
      <c r="BH32" s="3" t="n">
        <v>0.0191367551986813</v>
      </c>
      <c r="BI32" s="3" t="n">
        <v>0.0230867451191046</v>
      </c>
      <c r="BJ32" s="168" t="n">
        <v>4.36186201319929E-007</v>
      </c>
      <c r="BK32" s="168" t="n">
        <v>1.80276568508293E-005</v>
      </c>
      <c r="BL32" s="168" t="n">
        <v>3.49032909905055E-006</v>
      </c>
      <c r="BM32" s="168" t="n">
        <v>4.69406088087318E-008</v>
      </c>
      <c r="BN32" s="168" t="n">
        <v>2.59818057517531E-005</v>
      </c>
      <c r="BO32" s="168" t="n">
        <v>3.2561776658873E-006</v>
      </c>
      <c r="BP32" s="168" t="n">
        <v>1.67188977583214E-005</v>
      </c>
      <c r="BQ32" s="3" t="n">
        <v>0.00662975331807488</v>
      </c>
      <c r="BR32" s="3" t="n">
        <v>0.00151616142276775</v>
      </c>
      <c r="BS32" s="169"/>
      <c r="BT32" s="169"/>
      <c r="BU32" s="169"/>
      <c r="BV32" s="169"/>
      <c r="BW32" s="169"/>
      <c r="BX32" s="169"/>
      <c r="BY32" s="169"/>
    </row>
    <row r="33" customFormat="false" ht="12.75" hidden="false" customHeight="false" outlineLevel="0" collapsed="false">
      <c r="A33" s="3" t="n">
        <v>2</v>
      </c>
      <c r="B33" s="3" t="n">
        <v>2.4</v>
      </c>
      <c r="C33" s="3" t="s">
        <v>244</v>
      </c>
      <c r="D33" s="3" t="s">
        <v>220</v>
      </c>
      <c r="E33" s="3" t="n">
        <v>0.412040173165566</v>
      </c>
      <c r="F33" s="3" t="n">
        <v>0.582724551408425</v>
      </c>
      <c r="G33" s="3" t="n">
        <v>0.336782173823797</v>
      </c>
      <c r="H33" s="3" t="n">
        <v>0.0342254640182704</v>
      </c>
      <c r="I33" s="3" t="n">
        <v>1.74270238680897</v>
      </c>
      <c r="J33" s="3" t="n">
        <v>1.37263302359614</v>
      </c>
      <c r="K33" s="168" t="n">
        <v>0.000317800723842769</v>
      </c>
      <c r="L33" s="3" t="n">
        <v>0</v>
      </c>
      <c r="M33" s="168" t="n">
        <v>0.000210520234028066</v>
      </c>
      <c r="N33" s="3" t="n">
        <v>0</v>
      </c>
      <c r="O33" s="168" t="n">
        <v>0.000216507452777582</v>
      </c>
      <c r="P33" s="3" t="n">
        <v>0</v>
      </c>
      <c r="Q33" s="3" t="n">
        <v>0.00149393423772994</v>
      </c>
      <c r="R33" s="168" t="n">
        <v>0.000300274028530816</v>
      </c>
      <c r="S33" s="3" t="n">
        <v>0.00124426654236149</v>
      </c>
      <c r="T33" s="3" t="n">
        <v>0</v>
      </c>
      <c r="U33" s="3" t="n">
        <v>0.00363377359884381</v>
      </c>
      <c r="V33" s="168" t="n">
        <v>0.000300319216274782</v>
      </c>
      <c r="W33" s="168" t="n">
        <v>3.51823417516212E-006</v>
      </c>
      <c r="X33" s="3" t="n">
        <v>0.00339237690633415</v>
      </c>
      <c r="Y33" s="168" t="n">
        <v>3.57067332585632E-006</v>
      </c>
      <c r="Z33" s="168" t="n">
        <v>0.000871304521904938</v>
      </c>
      <c r="AA33" s="168" t="n">
        <v>4.00398741530065E-006</v>
      </c>
      <c r="AB33" s="3" t="n">
        <v>0.00350562680660487</v>
      </c>
      <c r="AC33" s="3" t="n">
        <v>0.213705468105813</v>
      </c>
      <c r="AD33" s="3" t="n">
        <v>0.238064585418766</v>
      </c>
      <c r="AE33" s="3" t="n">
        <v>0.185360197375696</v>
      </c>
      <c r="AF33" s="168" t="n">
        <v>7.6623673148113E-005</v>
      </c>
      <c r="AG33" s="168" t="n">
        <v>3.50713101347869E-007</v>
      </c>
      <c r="AH33" s="168" t="n">
        <v>0.000231452470370368</v>
      </c>
      <c r="AI33" s="168" t="n">
        <v>0.000308456937805348</v>
      </c>
      <c r="AJ33" s="168" t="n">
        <v>0.000114561153009229</v>
      </c>
      <c r="AK33" s="168" t="n">
        <v>0.000270868788343121</v>
      </c>
      <c r="AL33" s="168" t="n">
        <v>4.99196247508382E-005</v>
      </c>
      <c r="AM33" s="3" t="n">
        <v>0.0061472940549352</v>
      </c>
      <c r="AN33" s="168" t="n">
        <v>5.44224907389852E-005</v>
      </c>
      <c r="AO33" s="3" t="n">
        <v>0.00211363969687493</v>
      </c>
      <c r="AP33" s="168" t="n">
        <v>1.54732231002324E-006</v>
      </c>
      <c r="AQ33" s="3" t="n">
        <v>0.00228134720161704</v>
      </c>
      <c r="AR33" s="3" t="n">
        <v>1.36818502248433</v>
      </c>
      <c r="AS33" s="3" t="n">
        <v>0.224663040581263</v>
      </c>
      <c r="AT33" s="3" t="n">
        <v>0.00225941663356422</v>
      </c>
      <c r="AU33" s="168" t="n">
        <v>2.64326431736885E-007</v>
      </c>
      <c r="AV33" s="168" t="n">
        <v>1.17073105120446E-006</v>
      </c>
      <c r="AW33" s="168" t="n">
        <v>1.33996937027529E-006</v>
      </c>
      <c r="AX33" s="168" t="n">
        <v>0.000153419698118531</v>
      </c>
      <c r="AY33" s="168" t="n">
        <v>0.000336063824519935</v>
      </c>
      <c r="AZ33" s="168" t="n">
        <v>1.53718944782031E-040</v>
      </c>
      <c r="BA33" s="168" t="n">
        <v>1.94500736310085E-005</v>
      </c>
      <c r="BB33" s="168" t="n">
        <v>2.05599711577227E-005</v>
      </c>
      <c r="BC33" s="168" t="n">
        <v>2.64683703067564E-005</v>
      </c>
      <c r="BD33" s="168" t="n">
        <v>0.000154303765080939</v>
      </c>
      <c r="BE33" s="168" t="n">
        <v>0.000135317003148761</v>
      </c>
      <c r="BF33" s="168" t="n">
        <v>3.68233222989428E-005</v>
      </c>
      <c r="BG33" s="3" t="n">
        <v>0.0870848036731082</v>
      </c>
      <c r="BH33" s="3" t="n">
        <v>0.0756152089159933</v>
      </c>
      <c r="BI33" s="3" t="n">
        <v>0.019780507894336</v>
      </c>
      <c r="BJ33" s="168" t="n">
        <v>2.92375180515733E-006</v>
      </c>
      <c r="BK33" s="168" t="n">
        <v>4.29106986749519E-006</v>
      </c>
      <c r="BL33" s="168" t="n">
        <v>3.89791960321526E-006</v>
      </c>
      <c r="BM33" s="168" t="n">
        <v>9.7622904384293E-007</v>
      </c>
      <c r="BN33" s="168" t="n">
        <v>3.90998882067286E-005</v>
      </c>
      <c r="BO33" s="168" t="n">
        <v>9.99011529071633E-006</v>
      </c>
      <c r="BP33" s="168" t="n">
        <v>0.000566955008549629</v>
      </c>
      <c r="BQ33" s="3" t="n">
        <v>0.0113920722771623</v>
      </c>
      <c r="BR33" s="3" t="n">
        <v>0.00407846913038217</v>
      </c>
      <c r="BS33" s="169"/>
      <c r="BT33" s="169"/>
      <c r="BU33" s="169"/>
      <c r="BV33" s="169"/>
      <c r="BW33" s="169"/>
      <c r="BX33" s="169"/>
      <c r="BY33" s="169"/>
    </row>
    <row r="34" customFormat="false" ht="12.75" hidden="true" customHeight="false" outlineLevel="0" collapsed="false">
      <c r="A34" s="3" t="n">
        <v>1</v>
      </c>
      <c r="B34" s="3" t="n">
        <v>1.1</v>
      </c>
      <c r="C34" s="3" t="s">
        <v>219</v>
      </c>
      <c r="D34" s="3" t="s">
        <v>245</v>
      </c>
      <c r="E34" s="3" t="n">
        <v>0.0566107103631338</v>
      </c>
      <c r="F34" s="3" t="n">
        <v>0.0566979197519931</v>
      </c>
      <c r="G34" s="3" t="n">
        <v>0.0101375873080256</v>
      </c>
      <c r="H34" s="3" t="n">
        <v>0.0454746416618416</v>
      </c>
      <c r="I34" s="3" t="n">
        <v>0.062893878690185</v>
      </c>
      <c r="J34" s="3" t="n">
        <v>0.063329294809638</v>
      </c>
      <c r="K34" s="3" t="n">
        <v>0.175452885289815</v>
      </c>
      <c r="L34" s="168" t="n">
        <v>3.62912486519383E-015</v>
      </c>
      <c r="M34" s="3" t="n">
        <v>0.238709822169087</v>
      </c>
      <c r="N34" s="3" t="n">
        <v>0</v>
      </c>
      <c r="O34" s="3" t="n">
        <v>0.100616692621336</v>
      </c>
      <c r="P34" s="3" t="n">
        <v>0</v>
      </c>
      <c r="Q34" s="3" t="n">
        <v>0.165746987431911</v>
      </c>
      <c r="R34" s="168" t="n">
        <v>1.45164994607753E-014</v>
      </c>
      <c r="S34" s="3" t="n">
        <v>0.111038655676071</v>
      </c>
      <c r="T34" s="3" t="n">
        <v>0</v>
      </c>
      <c r="U34" s="3" t="n">
        <v>0.27440499950552</v>
      </c>
      <c r="V34" s="3" t="n">
        <v>0</v>
      </c>
      <c r="W34" s="168" t="n">
        <v>0.000433261991867633</v>
      </c>
      <c r="X34" s="3" t="n">
        <v>0.0174867059721547</v>
      </c>
      <c r="Y34" s="168" t="n">
        <v>0.000332615295463224</v>
      </c>
      <c r="Z34" s="3" t="n">
        <v>0.0528307487631783</v>
      </c>
      <c r="AA34" s="168" t="n">
        <v>0.000248738050701255</v>
      </c>
      <c r="AB34" s="3" t="n">
        <v>0.0254331447517976</v>
      </c>
      <c r="AC34" s="3" t="n">
        <v>0.0363305687624275</v>
      </c>
      <c r="AD34" s="3" t="n">
        <v>0.0397241695564461</v>
      </c>
      <c r="AE34" s="3" t="n">
        <v>0.0205667914710353</v>
      </c>
      <c r="AF34" s="3" t="n">
        <v>0.0602318428891737</v>
      </c>
      <c r="AG34" s="168" t="n">
        <v>3.50228896703004E-019</v>
      </c>
      <c r="AH34" s="3" t="n">
        <v>0.0691387504551021</v>
      </c>
      <c r="AI34" s="3" t="n">
        <v>0</v>
      </c>
      <c r="AJ34" s="3" t="n">
        <v>0.0419073817215226</v>
      </c>
      <c r="AK34" s="168" t="n">
        <v>5.13235760390255E-015</v>
      </c>
      <c r="AL34" s="168" t="n">
        <v>8.51208784100813E-005</v>
      </c>
      <c r="AM34" s="3" t="n">
        <v>0.0420183131321265</v>
      </c>
      <c r="AN34" s="168" t="n">
        <v>0.000485188532282008</v>
      </c>
      <c r="AO34" s="3" t="n">
        <v>0.0662722497781603</v>
      </c>
      <c r="AP34" s="168" t="n">
        <v>0.000589491246561969</v>
      </c>
      <c r="AQ34" s="3" t="n">
        <v>0.0302862915653812</v>
      </c>
      <c r="AR34" s="3" t="n">
        <v>0.0120354372905742</v>
      </c>
      <c r="AS34" s="3" t="n">
        <v>0.0223599824185959</v>
      </c>
      <c r="AT34" s="3" t="n">
        <v>0.0256295859742239</v>
      </c>
      <c r="AU34" s="168" t="n">
        <v>0.000181990195628138</v>
      </c>
      <c r="AV34" s="168" t="n">
        <v>0.000368488959090684</v>
      </c>
      <c r="AW34" s="168" t="n">
        <v>0.000233575378393119</v>
      </c>
      <c r="AX34" s="168" t="n">
        <v>1.94902405857933E-021</v>
      </c>
      <c r="AY34" s="168" t="n">
        <v>3.97630059441137E-021</v>
      </c>
      <c r="AZ34" s="168" t="n">
        <v>2.50163928036052E-021</v>
      </c>
      <c r="BA34" s="168" t="n">
        <v>0.000509066777246698</v>
      </c>
      <c r="BB34" s="168" t="n">
        <v>0.000479864781376743</v>
      </c>
      <c r="BC34" s="168" t="n">
        <v>0.000607469807921407</v>
      </c>
      <c r="BD34" s="168" t="n">
        <v>0.000238111697178561</v>
      </c>
      <c r="BE34" s="168" t="n">
        <v>0.000228590566225718</v>
      </c>
      <c r="BF34" s="168" t="n">
        <v>0.000122660441210694</v>
      </c>
      <c r="BG34" s="3" t="n">
        <v>0.00578517730485355</v>
      </c>
      <c r="BH34" s="3" t="n">
        <v>0.00552894556477524</v>
      </c>
      <c r="BI34" s="3" t="n">
        <v>0.00296507707185691</v>
      </c>
      <c r="BJ34" s="168" t="n">
        <v>0.000275001109353426</v>
      </c>
      <c r="BK34" s="168" t="n">
        <v>0.000315098269350938</v>
      </c>
      <c r="BL34" s="168" t="n">
        <v>8.92680753427678E-005</v>
      </c>
      <c r="BM34" s="168" t="n">
        <v>7.52518932870488E-005</v>
      </c>
      <c r="BN34" s="168" t="n">
        <v>8.26698784018966E-005</v>
      </c>
      <c r="BO34" s="168" t="n">
        <v>0.000150164016622776</v>
      </c>
      <c r="BP34" s="3" t="n">
        <v>0.00142700372688371</v>
      </c>
      <c r="BQ34" s="3" t="n">
        <v>0.00153839077370514</v>
      </c>
      <c r="BR34" s="3" t="n">
        <v>0.0028080914894237</v>
      </c>
      <c r="BS34" s="169"/>
      <c r="BT34" s="169"/>
      <c r="BU34" s="169"/>
      <c r="BV34" s="169"/>
      <c r="BW34" s="169"/>
      <c r="BX34" s="169"/>
      <c r="BY34" s="169"/>
    </row>
    <row r="35" customFormat="false" ht="12.75" hidden="true" customHeight="false" outlineLevel="0" collapsed="false">
      <c r="A35" s="3" t="n">
        <v>1</v>
      </c>
      <c r="B35" s="3" t="n">
        <v>1.1</v>
      </c>
      <c r="C35" s="3" t="s">
        <v>221</v>
      </c>
      <c r="D35" s="3" t="s">
        <v>245</v>
      </c>
      <c r="E35" s="3" t="n">
        <v>0.0525189732307282</v>
      </c>
      <c r="F35" s="3" t="n">
        <v>0.0254009836558081</v>
      </c>
      <c r="G35" s="3" t="n">
        <v>0.00928406029271877</v>
      </c>
      <c r="H35" s="3" t="n">
        <v>0.0429452551878945</v>
      </c>
      <c r="I35" s="3" t="n">
        <v>0.0258258213855944</v>
      </c>
      <c r="J35" s="3" t="n">
        <v>0.0495123325528982</v>
      </c>
      <c r="K35" s="3" t="n">
        <v>0.110636873374117</v>
      </c>
      <c r="L35" s="168" t="n">
        <v>4.05748494870409E-015</v>
      </c>
      <c r="M35" s="3" t="n">
        <v>0.193148546663597</v>
      </c>
      <c r="N35" s="3" t="n">
        <v>0</v>
      </c>
      <c r="O35" s="3" t="n">
        <v>0.106570930043953</v>
      </c>
      <c r="P35" s="3" t="n">
        <v>0</v>
      </c>
      <c r="Q35" s="3" t="n">
        <v>0.182085755714331</v>
      </c>
      <c r="R35" s="168" t="n">
        <v>1.32516903511304E-014</v>
      </c>
      <c r="S35" s="3" t="n">
        <v>0.106217692209935</v>
      </c>
      <c r="T35" s="3" t="n">
        <v>0</v>
      </c>
      <c r="U35" s="3" t="n">
        <v>0.184885496344909</v>
      </c>
      <c r="V35" s="3" t="n">
        <v>0</v>
      </c>
      <c r="W35" s="168" t="n">
        <v>0.000265336786875784</v>
      </c>
      <c r="X35" s="3" t="n">
        <v>0.0112737173852718</v>
      </c>
      <c r="Y35" s="168" t="n">
        <v>0.000296586531982857</v>
      </c>
      <c r="Z35" s="3" t="n">
        <v>0.0236601549385512</v>
      </c>
      <c r="AA35" s="3" t="n">
        <v>0.000226092202680767</v>
      </c>
      <c r="AB35" s="3" t="n">
        <v>0.0190425049302859</v>
      </c>
      <c r="AC35" s="3" t="n">
        <v>0.0304295327310808</v>
      </c>
      <c r="AD35" s="3" t="n">
        <v>0.0215356205383325</v>
      </c>
      <c r="AE35" s="3" t="n">
        <v>0.0127527981581425</v>
      </c>
      <c r="AF35" s="3" t="n">
        <v>0.048858134889981</v>
      </c>
      <c r="AG35" s="168" t="n">
        <v>2.02204747789465E-019</v>
      </c>
      <c r="AH35" s="3" t="n">
        <v>0.0466398059756832</v>
      </c>
      <c r="AI35" s="3" t="n">
        <v>0</v>
      </c>
      <c r="AJ35" s="3" t="n">
        <v>0.0459942289306797</v>
      </c>
      <c r="AK35" s="168" t="n">
        <v>8.3811048713697E-015</v>
      </c>
      <c r="AL35" s="168" t="n">
        <v>0.000100594671985572</v>
      </c>
      <c r="AM35" s="3" t="n">
        <v>0.0228256311266647</v>
      </c>
      <c r="AN35" s="168" t="n">
        <v>0.00060237898550098</v>
      </c>
      <c r="AO35" s="3" t="n">
        <v>0.0951968799016589</v>
      </c>
      <c r="AP35" s="168" t="n">
        <v>0.000655729108116983</v>
      </c>
      <c r="AQ35" s="3" t="n">
        <v>0.0484338267334361</v>
      </c>
      <c r="AR35" s="3" t="n">
        <v>0.00721720507748218</v>
      </c>
      <c r="AS35" s="3" t="n">
        <v>0.0105016341753855</v>
      </c>
      <c r="AT35" s="3" t="n">
        <v>0.0122070628804255</v>
      </c>
      <c r="AU35" s="168" t="n">
        <v>0.000248000394898963</v>
      </c>
      <c r="AV35" s="168" t="n">
        <v>0.000323316979004353</v>
      </c>
      <c r="AW35" s="168" t="n">
        <v>0.000176336949360906</v>
      </c>
      <c r="AX35" s="168" t="n">
        <v>2.65593069253496E-021</v>
      </c>
      <c r="AY35" s="168" t="n">
        <v>3.48865093337086E-021</v>
      </c>
      <c r="AZ35" s="168" t="n">
        <v>1.88856378394753E-021</v>
      </c>
      <c r="BA35" s="168" t="n">
        <v>0.000643810759845419</v>
      </c>
      <c r="BB35" s="168" t="n">
        <v>0.000762422894128432</v>
      </c>
      <c r="BC35" s="3" t="n">
        <v>0.00109491389642322</v>
      </c>
      <c r="BD35" s="168" t="n">
        <v>0.000160071179341414</v>
      </c>
      <c r="BE35" s="168" t="n">
        <v>0.000157894914375146</v>
      </c>
      <c r="BF35" s="168" t="n">
        <v>0.000171854058098468</v>
      </c>
      <c r="BG35" s="3" t="n">
        <v>0.00388526801776145</v>
      </c>
      <c r="BH35" s="3" t="n">
        <v>0.00382139477728369</v>
      </c>
      <c r="BI35" s="3" t="n">
        <v>0.00415917553969075</v>
      </c>
      <c r="BJ35" s="168" t="n">
        <v>0.000363465144152965</v>
      </c>
      <c r="BK35" s="168" t="n">
        <v>0.000236082846549715</v>
      </c>
      <c r="BL35" s="168" t="n">
        <v>0.000101098287302664</v>
      </c>
      <c r="BM35" s="168" t="n">
        <v>5.27966925980687E-005</v>
      </c>
      <c r="BN35" s="168" t="n">
        <v>0.000108062419247172</v>
      </c>
      <c r="BO35" s="168" t="n">
        <v>0.000169568661342013</v>
      </c>
      <c r="BP35" s="3" t="n">
        <v>0.00100180320340184</v>
      </c>
      <c r="BQ35" s="3" t="n">
        <v>0.00201070810485187</v>
      </c>
      <c r="BR35" s="3" t="n">
        <v>0.00317204241868357</v>
      </c>
      <c r="BS35" s="169"/>
      <c r="BT35" s="169"/>
      <c r="BU35" s="169"/>
      <c r="BV35" s="169"/>
      <c r="BW35" s="169"/>
      <c r="BX35" s="169"/>
      <c r="BY35" s="169"/>
    </row>
    <row r="36" customFormat="false" ht="12.75" hidden="true" customHeight="false" outlineLevel="0" collapsed="false">
      <c r="A36" s="3" t="n">
        <v>1</v>
      </c>
      <c r="B36" s="3" t="n">
        <v>1.1</v>
      </c>
      <c r="C36" s="3" t="s">
        <v>222</v>
      </c>
      <c r="D36" s="3" t="s">
        <v>245</v>
      </c>
      <c r="E36" s="3" t="n">
        <v>0.0483652417448366</v>
      </c>
      <c r="F36" s="3" t="n">
        <v>0.019075236401704</v>
      </c>
      <c r="G36" s="3" t="n">
        <v>0.00743457748420488</v>
      </c>
      <c r="H36" s="3" t="n">
        <v>0.0435327057791261</v>
      </c>
      <c r="I36" s="3" t="n">
        <v>0.0202005909435712</v>
      </c>
      <c r="J36" s="3" t="n">
        <v>0.0497762778825604</v>
      </c>
      <c r="K36" s="3" t="n">
        <v>0.106204607231054</v>
      </c>
      <c r="L36" s="168" t="n">
        <v>4.05748494870409E-015</v>
      </c>
      <c r="M36" s="3" t="n">
        <v>0.179313691484006</v>
      </c>
      <c r="N36" s="3" t="n">
        <v>0</v>
      </c>
      <c r="O36" s="3" t="n">
        <v>0.115854910262296</v>
      </c>
      <c r="P36" s="3" t="n">
        <v>0</v>
      </c>
      <c r="Q36" s="3" t="n">
        <v>0.191322416603298</v>
      </c>
      <c r="R36" s="168" t="n">
        <v>8.3811048713697E-015</v>
      </c>
      <c r="S36" s="3" t="n">
        <v>0.0958535848104534</v>
      </c>
      <c r="T36" s="3" t="n">
        <v>0</v>
      </c>
      <c r="U36" s="3" t="n">
        <v>0.1815073821292</v>
      </c>
      <c r="V36" s="3" t="n">
        <v>0</v>
      </c>
      <c r="W36" s="168" t="n">
        <v>0.000308081565987719</v>
      </c>
      <c r="X36" s="3" t="n">
        <v>0.0120901905648658</v>
      </c>
      <c r="Y36" s="168" t="n">
        <v>0.000408326427132647</v>
      </c>
      <c r="Z36" s="3" t="n">
        <v>0.027952452367518</v>
      </c>
      <c r="AA36" s="168" t="n">
        <v>0.000266853850082079</v>
      </c>
      <c r="AB36" s="3" t="n">
        <v>0.033130711363632</v>
      </c>
      <c r="AC36" s="3" t="n">
        <v>0.0313842947467935</v>
      </c>
      <c r="AD36" s="3" t="n">
        <v>0.037218672366886</v>
      </c>
      <c r="AE36" s="3" t="n">
        <v>0.0221715868021688</v>
      </c>
      <c r="AF36" s="3" t="n">
        <v>0.0450782153032648</v>
      </c>
      <c r="AG36" s="168" t="n">
        <v>1.49959054463979E-019</v>
      </c>
      <c r="AH36" s="3" t="n">
        <v>0.0456517391369887</v>
      </c>
      <c r="AI36" s="3" t="n">
        <v>0</v>
      </c>
      <c r="AJ36" s="3" t="n">
        <v>0.0481563038147807</v>
      </c>
      <c r="AK36" s="168" t="n">
        <v>7.25824973038767E-015</v>
      </c>
      <c r="AL36" s="168" t="n">
        <v>9.09952930778275E-005</v>
      </c>
      <c r="AM36" s="3" t="n">
        <v>0.0193548639392099</v>
      </c>
      <c r="AN36" s="168" t="n">
        <v>0.000573234474219813</v>
      </c>
      <c r="AO36" s="3" t="n">
        <v>0.0790509977162112</v>
      </c>
      <c r="AP36" s="168" t="n">
        <v>0.000519975561373897</v>
      </c>
      <c r="AQ36" s="3" t="n">
        <v>0.0311134092762904</v>
      </c>
      <c r="AR36" s="3" t="n">
        <v>0.0063330576715369</v>
      </c>
      <c r="AS36" s="3" t="n">
        <v>0.00950176213655721</v>
      </c>
      <c r="AT36" s="3" t="n">
        <v>0.0107612327559412</v>
      </c>
      <c r="AU36" s="168" t="n">
        <v>7.96380066386607E-005</v>
      </c>
      <c r="AV36" s="168" t="n">
        <v>0.000180954373102159</v>
      </c>
      <c r="AW36" s="168" t="n">
        <v>0.000182138279805917</v>
      </c>
      <c r="AX36" s="168" t="n">
        <v>8.52874413604355E-022</v>
      </c>
      <c r="AY36" s="168" t="n">
        <v>1.95246929900327E-021</v>
      </c>
      <c r="AZ36" s="168" t="n">
        <v>1.95064904720503E-021</v>
      </c>
      <c r="BA36" s="168" t="n">
        <v>0.000618488369485252</v>
      </c>
      <c r="BB36" s="168" t="n">
        <v>0.000720591169542258</v>
      </c>
      <c r="BC36" s="168" t="n">
        <v>0.000999447793620698</v>
      </c>
      <c r="BD36" s="168" t="n">
        <v>0.000168056241265515</v>
      </c>
      <c r="BE36" s="168" t="n">
        <v>0.000263233093919002</v>
      </c>
      <c r="BF36" s="168" t="n">
        <v>0.00013341010605214</v>
      </c>
      <c r="BG36" s="3" t="n">
        <v>0.00407118430536961</v>
      </c>
      <c r="BH36" s="3" t="n">
        <v>0.00638028488082734</v>
      </c>
      <c r="BI36" s="3" t="n">
        <v>0.00321843448839553</v>
      </c>
      <c r="BJ36" s="168" t="n">
        <v>0.000337554579055273</v>
      </c>
      <c r="BK36" s="168" t="n">
        <v>0.000221964391320678</v>
      </c>
      <c r="BL36" s="168" t="n">
        <v>4.65020242668923E-005</v>
      </c>
      <c r="BM36" s="168" t="n">
        <v>9.89340739554049E-005</v>
      </c>
      <c r="BN36" s="168" t="n">
        <v>5.86508622756349E-005</v>
      </c>
      <c r="BO36" s="168" t="n">
        <v>0.00014245101890832</v>
      </c>
      <c r="BP36" s="3" t="n">
        <v>0.00187698508541701</v>
      </c>
      <c r="BQ36" s="3" t="n">
        <v>0.00109120359570287</v>
      </c>
      <c r="BR36" s="3" t="n">
        <v>0.00266434042215628</v>
      </c>
      <c r="BS36" s="169"/>
      <c r="BT36" s="169"/>
      <c r="BU36" s="169"/>
      <c r="BV36" s="169"/>
      <c r="BW36" s="169"/>
      <c r="BX36" s="169"/>
      <c r="BY36" s="169"/>
    </row>
    <row r="37" customFormat="false" ht="12.75" hidden="true" customHeight="false" outlineLevel="0" collapsed="false">
      <c r="A37" s="3" t="n">
        <v>1</v>
      </c>
      <c r="B37" s="3" t="n">
        <v>1.2</v>
      </c>
      <c r="C37" s="3" t="s">
        <v>223</v>
      </c>
      <c r="D37" s="3" t="s">
        <v>245</v>
      </c>
      <c r="E37" s="3" t="n">
        <v>0.406244967646851</v>
      </c>
      <c r="F37" s="3" t="n">
        <v>0.391039449357239</v>
      </c>
      <c r="G37" s="3" t="n">
        <v>0.418237878550259</v>
      </c>
      <c r="H37" s="3" t="n">
        <v>0.0577486984545173</v>
      </c>
      <c r="I37" s="3" t="n">
        <v>0.0706143185478522</v>
      </c>
      <c r="J37" s="3" t="n">
        <v>0.0842125344828012</v>
      </c>
      <c r="K37" s="3" t="n">
        <v>0.121614763072178</v>
      </c>
      <c r="L37" s="168" t="n">
        <v>3.84926820292691E-015</v>
      </c>
      <c r="M37" s="3" t="n">
        <v>0.20209806870227</v>
      </c>
      <c r="N37" s="3" t="n">
        <v>0</v>
      </c>
      <c r="O37" s="3" t="n">
        <v>0.116355747141057</v>
      </c>
      <c r="P37" s="3" t="n">
        <v>0</v>
      </c>
      <c r="Q37" s="3" t="n">
        <v>0.207164169750119</v>
      </c>
      <c r="R37" s="168" t="n">
        <v>1.32516903511304E-014</v>
      </c>
      <c r="S37" s="3" t="n">
        <v>0.125151267626045</v>
      </c>
      <c r="T37" s="3" t="n">
        <v>0</v>
      </c>
      <c r="U37" s="3" t="n">
        <v>0.219633270015781</v>
      </c>
      <c r="V37" s="3" t="n">
        <v>0</v>
      </c>
      <c r="W37" s="3" t="n">
        <v>0.00132286897750327</v>
      </c>
      <c r="X37" s="3" t="n">
        <v>0.141520247799846</v>
      </c>
      <c r="Y37" s="3" t="n">
        <v>0.00148662341513131</v>
      </c>
      <c r="Z37" s="3" t="n">
        <v>0.159452434178415</v>
      </c>
      <c r="AA37" s="3" t="n">
        <v>0.00159602758978006</v>
      </c>
      <c r="AB37" s="3" t="n">
        <v>0.116702696850721</v>
      </c>
      <c r="AC37" s="3" t="n">
        <v>0.194327880206014</v>
      </c>
      <c r="AD37" s="3" t="n">
        <v>0.092852044435207</v>
      </c>
      <c r="AE37" s="3" t="n">
        <v>0.166663982648676</v>
      </c>
      <c r="AF37" s="3" t="n">
        <v>0.0505637989810057</v>
      </c>
      <c r="AG37" s="168" t="n">
        <v>1.91947589713893E-017</v>
      </c>
      <c r="AH37" s="3" t="n">
        <v>0.0548950254075237</v>
      </c>
      <c r="AI37" s="3" t="n">
        <v>0</v>
      </c>
      <c r="AJ37" s="3" t="n">
        <v>0.051870192579755</v>
      </c>
      <c r="AK37" s="168" t="n">
        <v>1.45164994607753E-014</v>
      </c>
      <c r="AL37" s="3" t="n">
        <v>0.00109624435202553</v>
      </c>
      <c r="AM37" s="3" t="n">
        <v>0.0290275317478125</v>
      </c>
      <c r="AN37" s="3" t="n">
        <v>0.0021313733508186</v>
      </c>
      <c r="AO37" s="3" t="n">
        <v>0.0429906835289932</v>
      </c>
      <c r="AP37" s="3" t="n">
        <v>0.00337494088681454</v>
      </c>
      <c r="AQ37" s="3" t="n">
        <v>0.0743866215662397</v>
      </c>
      <c r="AR37" s="3" t="n">
        <v>0.115043969351098</v>
      </c>
      <c r="AS37" s="3" t="n">
        <v>0.214370807605938</v>
      </c>
      <c r="AT37" s="3" t="n">
        <v>0.0658081392261254</v>
      </c>
      <c r="AU37" s="168" t="n">
        <v>0.000276743030497445</v>
      </c>
      <c r="AV37" s="3" t="n">
        <v>0.00257229948551619</v>
      </c>
      <c r="AW37" s="168" t="n">
        <v>0.000341011791098201</v>
      </c>
      <c r="AX37" s="168" t="n">
        <v>2.96388152978054E-021</v>
      </c>
      <c r="AY37" s="168" t="n">
        <v>2.7769710310035E-020</v>
      </c>
      <c r="AZ37" s="168" t="n">
        <v>3.65251898813387E-021</v>
      </c>
      <c r="BA37" s="3" t="n">
        <v>0.00144082680488229</v>
      </c>
      <c r="BB37" s="3" t="n">
        <v>0.00162760637364692</v>
      </c>
      <c r="BC37" s="3" t="n">
        <v>0.001472229797654</v>
      </c>
      <c r="BD37" s="3" t="n">
        <v>0.00570009002468378</v>
      </c>
      <c r="BE37" s="3" t="n">
        <v>0.00555394880112983</v>
      </c>
      <c r="BF37" s="3" t="n">
        <v>0.00530829472919032</v>
      </c>
      <c r="BG37" s="3" t="n">
        <v>0.13607314060179</v>
      </c>
      <c r="BH37" s="3" t="n">
        <v>0.131826318645637</v>
      </c>
      <c r="BI37" s="3" t="n">
        <v>0.126307223854397</v>
      </c>
      <c r="BJ37" s="3" t="n">
        <v>0.00161597279390767</v>
      </c>
      <c r="BK37" s="3" t="n">
        <v>0.00171606779837554</v>
      </c>
      <c r="BL37" s="3" t="n">
        <v>0.00245484203510574</v>
      </c>
      <c r="BM37" s="168" t="n">
        <v>0.000969825699348865</v>
      </c>
      <c r="BN37" s="3" t="n">
        <v>0.00539346795243256</v>
      </c>
      <c r="BO37" s="3" t="n">
        <v>0.00166667378238861</v>
      </c>
      <c r="BP37" s="3" t="n">
        <v>0.0237470018599905</v>
      </c>
      <c r="BQ37" s="3" t="n">
        <v>0.0918561631372662</v>
      </c>
      <c r="BR37" s="3" t="n">
        <v>0.0392570078839525</v>
      </c>
      <c r="BS37" s="169"/>
      <c r="BT37" s="169"/>
      <c r="BU37" s="169"/>
      <c r="BV37" s="169"/>
      <c r="BW37" s="169"/>
      <c r="BX37" s="169"/>
      <c r="BY37" s="169"/>
    </row>
    <row r="38" customFormat="false" ht="12.75" hidden="true" customHeight="false" outlineLevel="0" collapsed="false">
      <c r="A38" s="3" t="n">
        <v>1</v>
      </c>
      <c r="B38" s="3" t="n">
        <v>1.2</v>
      </c>
      <c r="C38" s="3" t="s">
        <v>224</v>
      </c>
      <c r="D38" s="3" t="s">
        <v>245</v>
      </c>
      <c r="E38" s="3" t="n">
        <v>0.156603389803113</v>
      </c>
      <c r="F38" s="3" t="n">
        <v>0.138379363248954</v>
      </c>
      <c r="G38" s="3" t="n">
        <v>0.143595257540844</v>
      </c>
      <c r="H38" s="3" t="n">
        <v>0.0463914841948</v>
      </c>
      <c r="I38" s="3" t="n">
        <v>0.0436303806239267</v>
      </c>
      <c r="J38" s="3" t="n">
        <v>0.0503923316743139</v>
      </c>
      <c r="K38" s="3" t="n">
        <v>0.111837581029078</v>
      </c>
      <c r="L38" s="168" t="n">
        <v>3.62912486519383E-015</v>
      </c>
      <c r="M38" s="3" t="n">
        <v>0.193049447309546</v>
      </c>
      <c r="N38" s="3" t="n">
        <v>0</v>
      </c>
      <c r="O38" s="3" t="n">
        <v>0.120209122417218</v>
      </c>
      <c r="P38" s="3" t="n">
        <v>0</v>
      </c>
      <c r="Q38" s="3" t="n">
        <v>0.219941642047438</v>
      </c>
      <c r="R38" s="168" t="n">
        <v>1.02647152078051E-014</v>
      </c>
      <c r="S38" s="3" t="n">
        <v>0.122857986306449</v>
      </c>
      <c r="T38" s="3" t="n">
        <v>0</v>
      </c>
      <c r="U38" s="3" t="n">
        <v>0.201307999272289</v>
      </c>
      <c r="V38" s="3" t="n">
        <v>0</v>
      </c>
      <c r="W38" s="168" t="n">
        <v>0.000808442673367142</v>
      </c>
      <c r="X38" s="3" t="n">
        <v>0.0920410488245507</v>
      </c>
      <c r="Y38" s="168" t="n">
        <v>0.000821943260221264</v>
      </c>
      <c r="Z38" s="3" t="n">
        <v>0.105285695851505</v>
      </c>
      <c r="AA38" s="3" t="n">
        <v>0.00100702087001349</v>
      </c>
      <c r="AB38" s="3" t="n">
        <v>0.0890202756034296</v>
      </c>
      <c r="AC38" s="3" t="n">
        <v>0.0737844374424277</v>
      </c>
      <c r="AD38" s="3" t="n">
        <v>0.0747794904843648</v>
      </c>
      <c r="AE38" s="3" t="n">
        <v>0.0509722509262948</v>
      </c>
      <c r="AF38" s="3" t="n">
        <v>0.0489584668033946</v>
      </c>
      <c r="AG38" s="168" t="n">
        <v>1.41762690046634E-017</v>
      </c>
      <c r="AH38" s="3" t="n">
        <v>0.0509178934124834</v>
      </c>
      <c r="AI38" s="3" t="n">
        <v>0</v>
      </c>
      <c r="AJ38" s="3" t="n">
        <v>0.0557032679550262</v>
      </c>
      <c r="AK38" s="168" t="n">
        <v>1.45164994607753E-014</v>
      </c>
      <c r="AL38" s="3" t="n">
        <v>0.00140420096036908</v>
      </c>
      <c r="AM38" s="3" t="n">
        <v>0.0252269527252098</v>
      </c>
      <c r="AN38" s="3" t="n">
        <v>0.00147920281340606</v>
      </c>
      <c r="AO38" s="3" t="n">
        <v>0.0303079785809801</v>
      </c>
      <c r="AP38" s="3" t="n">
        <v>0.00162988025478177</v>
      </c>
      <c r="AQ38" s="3" t="n">
        <v>0.048173795235819</v>
      </c>
      <c r="AR38" s="3" t="n">
        <v>0.0489350208609983</v>
      </c>
      <c r="AS38" s="3" t="n">
        <v>0.0632506745051938</v>
      </c>
      <c r="AT38" s="3" t="n">
        <v>0.0626534531937526</v>
      </c>
      <c r="AU38" s="168" t="n">
        <v>0.000176606041348064</v>
      </c>
      <c r="AV38" s="3" t="n">
        <v>0.00117922234692019</v>
      </c>
      <c r="AW38" s="168" t="n">
        <v>0.000331578493451303</v>
      </c>
      <c r="AX38" s="168" t="n">
        <v>1.89138197318401E-021</v>
      </c>
      <c r="AY38" s="168" t="n">
        <v>1.27273128686119E-020</v>
      </c>
      <c r="AZ38" s="168" t="n">
        <v>3.5513899934705E-021</v>
      </c>
      <c r="BA38" s="3" t="n">
        <v>0.0011488869123281</v>
      </c>
      <c r="BB38" s="3" t="n">
        <v>0.00126859500918163</v>
      </c>
      <c r="BC38" s="3" t="n">
        <v>0.00155188766231681</v>
      </c>
      <c r="BD38" s="3" t="n">
        <v>0.00271584766887435</v>
      </c>
      <c r="BE38" s="3" t="n">
        <v>0.00287704682253982</v>
      </c>
      <c r="BF38" s="3" t="n">
        <v>0.00213928816444645</v>
      </c>
      <c r="BG38" s="3" t="n">
        <v>0.0642624927796058</v>
      </c>
      <c r="BH38" s="3" t="n">
        <v>0.0677557867207885</v>
      </c>
      <c r="BI38" s="3" t="n">
        <v>0.0497831241121525</v>
      </c>
      <c r="BJ38" s="3" t="n">
        <v>0.00257594629229749</v>
      </c>
      <c r="BK38" s="168" t="n">
        <v>9.07472169897971E-005</v>
      </c>
      <c r="BL38" s="168" t="n">
        <v>0.00044918707603365</v>
      </c>
      <c r="BM38" s="168" t="n">
        <v>0.000763731256142862</v>
      </c>
      <c r="BN38" s="168" t="n">
        <v>0.00031229340202078</v>
      </c>
      <c r="BO38" s="3" t="n">
        <v>0.00275582727815891</v>
      </c>
      <c r="BP38" s="3" t="n">
        <v>0.0234645492139961</v>
      </c>
      <c r="BQ38" s="3" t="n">
        <v>0.00578078637276033</v>
      </c>
      <c r="BR38" s="3" t="n">
        <v>0.0488009158975664</v>
      </c>
      <c r="BS38" s="169"/>
      <c r="BT38" s="169"/>
      <c r="BU38" s="169"/>
      <c r="BV38" s="169"/>
      <c r="BW38" s="169"/>
      <c r="BX38" s="169"/>
      <c r="BY38" s="169"/>
    </row>
    <row r="39" customFormat="false" ht="12.75" hidden="true" customHeight="false" outlineLevel="0" collapsed="false">
      <c r="A39" s="3" t="n">
        <v>1</v>
      </c>
      <c r="B39" s="3" t="n">
        <v>1.2</v>
      </c>
      <c r="C39" s="3" t="s">
        <v>225</v>
      </c>
      <c r="D39" s="3" t="s">
        <v>245</v>
      </c>
      <c r="E39" s="3" t="n">
        <v>0.110604487129537</v>
      </c>
      <c r="F39" s="3" t="n">
        <v>0.109460883222249</v>
      </c>
      <c r="G39" s="3" t="n">
        <v>0.111848262033928</v>
      </c>
      <c r="H39" s="3" t="n">
        <v>0.0366879631566158</v>
      </c>
      <c r="I39" s="3" t="n">
        <v>0.0293517720317397</v>
      </c>
      <c r="J39" s="3" t="n">
        <v>0.0524467902042283</v>
      </c>
      <c r="K39" s="3" t="n">
        <v>0.0598762107015026</v>
      </c>
      <c r="L39" s="168" t="n">
        <v>4.05748494870409E-015</v>
      </c>
      <c r="M39" s="3" t="n">
        <v>0.101585267489986</v>
      </c>
      <c r="N39" s="3" t="n">
        <v>0</v>
      </c>
      <c r="O39" s="3" t="n">
        <v>0.07692089137361</v>
      </c>
      <c r="P39" s="3" t="n">
        <v>0</v>
      </c>
      <c r="Q39" s="3" t="n">
        <v>0.205179232160918</v>
      </c>
      <c r="R39" s="168" t="n">
        <v>8.3811048713697E-015</v>
      </c>
      <c r="S39" s="3" t="n">
        <v>0.119744950587922</v>
      </c>
      <c r="T39" s="3" t="n">
        <v>0</v>
      </c>
      <c r="U39" s="3" t="n">
        <v>0.138135143488773</v>
      </c>
      <c r="V39" s="3" t="n">
        <v>0</v>
      </c>
      <c r="W39" s="168" t="n">
        <v>0.000666265375207198</v>
      </c>
      <c r="X39" s="3" t="n">
        <v>0.0448659661532565</v>
      </c>
      <c r="Y39" s="168" t="n">
        <v>0.000478481142490337</v>
      </c>
      <c r="Z39" s="3" t="n">
        <v>0.0379926025288544</v>
      </c>
      <c r="AA39" s="168" t="n">
        <v>0.00056751462742815</v>
      </c>
      <c r="AB39" s="3" t="n">
        <v>0.0282977879818052</v>
      </c>
      <c r="AC39" s="3" t="n">
        <v>0.0722889228339521</v>
      </c>
      <c r="AD39" s="3" t="n">
        <v>0.0477583157035587</v>
      </c>
      <c r="AE39" s="3" t="n">
        <v>0.0610968911659662</v>
      </c>
      <c r="AF39" s="3" t="n">
        <v>0.0256746382501359</v>
      </c>
      <c r="AG39" s="168" t="n">
        <v>2.24146493889922E-017</v>
      </c>
      <c r="AH39" s="3" t="n">
        <v>0.0349678321637479</v>
      </c>
      <c r="AI39" s="3" t="n">
        <v>0</v>
      </c>
      <c r="AJ39" s="3" t="n">
        <v>0.0519055124756733</v>
      </c>
      <c r="AK39" s="168" t="n">
        <v>1.45164994607753E-014</v>
      </c>
      <c r="AL39" s="3" t="n">
        <v>0.00217296275628863</v>
      </c>
      <c r="AM39" s="3" t="n">
        <v>0.0431765328867147</v>
      </c>
      <c r="AN39" s="3" t="n">
        <v>0.00183078624592304</v>
      </c>
      <c r="AO39" s="3" t="n">
        <v>0.0336258889397355</v>
      </c>
      <c r="AP39" s="3" t="n">
        <v>0.00249810161864996</v>
      </c>
      <c r="AQ39" s="3" t="n">
        <v>0.0309171411746445</v>
      </c>
      <c r="AR39" s="3" t="n">
        <v>0.024292817987975</v>
      </c>
      <c r="AS39" s="3" t="n">
        <v>0.0310281416795627</v>
      </c>
      <c r="AT39" s="3" t="n">
        <v>0.0765562347256062</v>
      </c>
      <c r="AU39" s="168" t="n">
        <v>0.000116112089461719</v>
      </c>
      <c r="AV39" s="168" t="n">
        <v>0.000676143936256254</v>
      </c>
      <c r="AW39" s="168" t="n">
        <v>0.000146722778875288</v>
      </c>
      <c r="AX39" s="168" t="n">
        <v>1.24350384492132E-021</v>
      </c>
      <c r="AY39" s="168" t="n">
        <v>7.29664928928098E-021</v>
      </c>
      <c r="AZ39" s="168" t="n">
        <v>1.57149212846523E-021</v>
      </c>
      <c r="BA39" s="168" t="n">
        <v>0.000962453589018725</v>
      </c>
      <c r="BB39" s="3" t="n">
        <v>0.00106510528318865</v>
      </c>
      <c r="BC39" s="3" t="n">
        <v>0.00161468007222801</v>
      </c>
      <c r="BD39" s="3" t="n">
        <v>0.00180268385850963</v>
      </c>
      <c r="BE39" s="3" t="n">
        <v>0.00147963641931482</v>
      </c>
      <c r="BF39" s="168" t="n">
        <v>0.000923355358940231</v>
      </c>
      <c r="BG39" s="3" t="n">
        <v>0.0424049284215777</v>
      </c>
      <c r="BH39" s="3" t="n">
        <v>0.0343903633698909</v>
      </c>
      <c r="BI39" s="3" t="n">
        <v>0.0206073973841692</v>
      </c>
      <c r="BJ39" s="168" t="n">
        <v>0.000905017843326476</v>
      </c>
      <c r="BK39" s="168" t="n">
        <v>0.000214378940533969</v>
      </c>
      <c r="BL39" s="168" t="n">
        <v>0.000653419109960431</v>
      </c>
      <c r="BM39" s="168" t="n">
        <v>0.000499347532393576</v>
      </c>
      <c r="BN39" s="168" t="n">
        <v>0.00044524128179038</v>
      </c>
      <c r="BO39" s="3" t="n">
        <v>0.00369042704422192</v>
      </c>
      <c r="BP39" s="3" t="n">
        <v>0.0119024775166333</v>
      </c>
      <c r="BQ39" s="3" t="n">
        <v>0.00793118045132475</v>
      </c>
      <c r="BR39" s="3" t="n">
        <v>0.064936569142203</v>
      </c>
      <c r="BS39" s="169"/>
      <c r="BT39" s="169"/>
      <c r="BU39" s="169"/>
      <c r="BV39" s="169"/>
      <c r="BW39" s="169"/>
      <c r="BX39" s="169"/>
      <c r="BY39" s="169"/>
    </row>
    <row r="40" customFormat="false" ht="12.75" hidden="true" customHeight="false" outlineLevel="0" collapsed="false">
      <c r="A40" s="3" t="n">
        <v>1</v>
      </c>
      <c r="B40" s="3" t="n">
        <v>1.3</v>
      </c>
      <c r="C40" s="3" t="s">
        <v>226</v>
      </c>
      <c r="D40" s="3" t="s">
        <v>245</v>
      </c>
      <c r="E40" s="3" t="n">
        <v>0.228434373588915</v>
      </c>
      <c r="F40" s="3" t="n">
        <v>0.260894224487642</v>
      </c>
      <c r="G40" s="3" t="n">
        <v>0.327237601532934</v>
      </c>
      <c r="H40" s="3" t="n">
        <v>0.0575473043916959</v>
      </c>
      <c r="I40" s="3" t="n">
        <v>0.0891370599151176</v>
      </c>
      <c r="J40" s="3" t="n">
        <v>0.129824853217146</v>
      </c>
      <c r="K40" s="3" t="n">
        <v>0.083495645286946</v>
      </c>
      <c r="L40" s="168" t="n">
        <v>3.62912486519383E-015</v>
      </c>
      <c r="M40" s="3" t="n">
        <v>0.139541824544096</v>
      </c>
      <c r="N40" s="3" t="n">
        <v>0</v>
      </c>
      <c r="O40" s="3" t="n">
        <v>0.0774037884656895</v>
      </c>
      <c r="P40" s="3" t="n">
        <v>0</v>
      </c>
      <c r="Q40" s="3" t="n">
        <v>0.132059388605419</v>
      </c>
      <c r="R40" s="168" t="n">
        <v>7.83980573782188E-015</v>
      </c>
      <c r="S40" s="3" t="n">
        <v>0.0788026266758596</v>
      </c>
      <c r="T40" s="3" t="n">
        <v>0</v>
      </c>
      <c r="U40" s="3" t="n">
        <v>0.143555341850853</v>
      </c>
      <c r="V40" s="3" t="n">
        <v>0</v>
      </c>
      <c r="W40" s="168" t="n">
        <v>0.000636440225684744</v>
      </c>
      <c r="X40" s="3" t="n">
        <v>0.0249351556504692</v>
      </c>
      <c r="Y40" s="168" t="n">
        <v>0.000670259533553055</v>
      </c>
      <c r="Z40" s="3" t="n">
        <v>0.0180565907230742</v>
      </c>
      <c r="AA40" s="168" t="n">
        <v>0.000641425512749334</v>
      </c>
      <c r="AB40" s="3" t="n">
        <v>0.0204172772462437</v>
      </c>
      <c r="AC40" s="3" t="n">
        <v>0.12090673595493</v>
      </c>
      <c r="AD40" s="3" t="n">
        <v>0.0754464004193286</v>
      </c>
      <c r="AE40" s="3" t="n">
        <v>0.0805600100744055</v>
      </c>
      <c r="AF40" s="3" t="n">
        <v>0.0353430398104591</v>
      </c>
      <c r="AG40" s="168" t="n">
        <v>4.33092171906176E-017</v>
      </c>
      <c r="AH40" s="3" t="n">
        <v>0.0367080379678555</v>
      </c>
      <c r="AI40" s="3" t="n">
        <v>0</v>
      </c>
      <c r="AJ40" s="3" t="n">
        <v>0.0351095690742542</v>
      </c>
      <c r="AK40" s="168" t="n">
        <v>1.45164994607753E-014</v>
      </c>
      <c r="AL40" s="3" t="n">
        <v>0.00170690421725531</v>
      </c>
      <c r="AM40" s="3" t="n">
        <v>0.02266443077287</v>
      </c>
      <c r="AN40" s="3" t="n">
        <v>0.00201098388090896</v>
      </c>
      <c r="AO40" s="3" t="n">
        <v>0.0205525849889507</v>
      </c>
      <c r="AP40" s="3" t="n">
        <v>0.00314734462101085</v>
      </c>
      <c r="AQ40" s="3" t="n">
        <v>0.0174469876523902</v>
      </c>
      <c r="AR40" s="3" t="n">
        <v>0.0933830596157003</v>
      </c>
      <c r="AS40" s="3" t="n">
        <v>0.142939769245251</v>
      </c>
      <c r="AT40" s="3" t="n">
        <v>0.146298299157003</v>
      </c>
      <c r="AU40" s="168" t="n">
        <v>0.000202704921361515</v>
      </c>
      <c r="AV40" s="168" t="n">
        <v>0.000330638666562539</v>
      </c>
      <c r="AW40" s="168" t="n">
        <v>0.000551966535425025</v>
      </c>
      <c r="AX40" s="3" t="n">
        <v>0.00194593156324068</v>
      </c>
      <c r="AY40" s="3" t="n">
        <v>0.00315440097228884</v>
      </c>
      <c r="AZ40" s="3" t="n">
        <v>0.00542488051347293</v>
      </c>
      <c r="BA40" s="3" t="n">
        <v>0.00135152025873939</v>
      </c>
      <c r="BB40" s="3" t="n">
        <v>0.00149288033065858</v>
      </c>
      <c r="BC40" s="3" t="n">
        <v>0.00139197697879361</v>
      </c>
      <c r="BD40" s="3" t="n">
        <v>0.00543418273158913</v>
      </c>
      <c r="BE40" s="3" t="n">
        <v>0.00501599075843103</v>
      </c>
      <c r="BF40" s="3" t="n">
        <v>0.00431695919720131</v>
      </c>
      <c r="BG40" s="3" t="n">
        <v>0.129725183988286</v>
      </c>
      <c r="BH40" s="3" t="n">
        <v>0.119039496793375</v>
      </c>
      <c r="BI40" s="3" t="n">
        <v>0.102476900848799</v>
      </c>
      <c r="BJ40" s="168" t="n">
        <v>0.000980836472616055</v>
      </c>
      <c r="BK40" s="3" t="n">
        <v>0.00112460219208242</v>
      </c>
      <c r="BL40" s="3" t="n">
        <v>0.00316940536761638</v>
      </c>
      <c r="BM40" s="3" t="n">
        <v>0.00104442750497145</v>
      </c>
      <c r="BN40" s="3" t="n">
        <v>0.00705457882688777</v>
      </c>
      <c r="BO40" s="3" t="n">
        <v>0.00181871782215117</v>
      </c>
      <c r="BP40" s="3" t="n">
        <v>0.0225817357982641</v>
      </c>
      <c r="BQ40" s="3" t="n">
        <v>0.125091939646705</v>
      </c>
      <c r="BR40" s="3" t="n">
        <v>0.0448886848551832</v>
      </c>
      <c r="BS40" s="169"/>
      <c r="BT40" s="169"/>
      <c r="BU40" s="169"/>
      <c r="BV40" s="169"/>
      <c r="BW40" s="169"/>
      <c r="BX40" s="169"/>
      <c r="BY40" s="169"/>
    </row>
    <row r="41" customFormat="false" ht="12.75" hidden="true" customHeight="false" outlineLevel="0" collapsed="false">
      <c r="A41" s="3" t="n">
        <v>1</v>
      </c>
      <c r="B41" s="3" t="n">
        <v>1.3</v>
      </c>
      <c r="C41" s="3" t="s">
        <v>227</v>
      </c>
      <c r="D41" s="3" t="s">
        <v>245</v>
      </c>
      <c r="E41" s="3" t="n">
        <v>0.445656300764271</v>
      </c>
      <c r="F41" s="3" t="n">
        <v>0.379896594076025</v>
      </c>
      <c r="G41" s="3" t="n">
        <v>0.401486765954351</v>
      </c>
      <c r="H41" s="3" t="n">
        <v>0.113562217946522</v>
      </c>
      <c r="I41" s="3" t="n">
        <v>0.16371467759304</v>
      </c>
      <c r="J41" s="3" t="n">
        <v>0.226130522091302</v>
      </c>
      <c r="K41" s="3" t="n">
        <v>0.321428507970651</v>
      </c>
      <c r="L41" s="168" t="n">
        <v>3.84926820292691E-015</v>
      </c>
      <c r="M41" s="3" t="n">
        <v>0.551498022070644</v>
      </c>
      <c r="N41" s="3" t="n">
        <v>0</v>
      </c>
      <c r="O41" s="3" t="n">
        <v>0.323950685501593</v>
      </c>
      <c r="P41" s="3" t="n">
        <v>0</v>
      </c>
      <c r="Q41" s="3" t="n">
        <v>0.579279720332423</v>
      </c>
      <c r="R41" s="168" t="n">
        <v>1.32516903511304E-014</v>
      </c>
      <c r="S41" s="3" t="n">
        <v>0.339410515461428</v>
      </c>
      <c r="T41" s="3" t="n">
        <v>0</v>
      </c>
      <c r="U41" s="3" t="n">
        <v>0.575115511678484</v>
      </c>
      <c r="V41" s="3" t="n">
        <v>0</v>
      </c>
      <c r="W41" s="3" t="n">
        <v>0.00108896268417989</v>
      </c>
      <c r="X41" s="3" t="n">
        <v>0.06946284787122</v>
      </c>
      <c r="Y41" s="168" t="n">
        <v>0.000863106165023465</v>
      </c>
      <c r="Z41" s="3" t="n">
        <v>0.0761535818739125</v>
      </c>
      <c r="AA41" s="3" t="n">
        <v>0.00101364371352611</v>
      </c>
      <c r="AB41" s="3" t="n">
        <v>0.0709879239205427</v>
      </c>
      <c r="AC41" s="3" t="n">
        <v>0.166845416971791</v>
      </c>
      <c r="AD41" s="3" t="n">
        <v>0.177026159010226</v>
      </c>
      <c r="AE41" s="3" t="n">
        <v>0.159649675925713</v>
      </c>
      <c r="AF41" s="3" t="n">
        <v>0.13960523631224</v>
      </c>
      <c r="AG41" s="168" t="n">
        <v>2.58822077170515E-017</v>
      </c>
      <c r="AH41" s="3" t="n">
        <v>0.145871332640207</v>
      </c>
      <c r="AI41" s="3" t="n">
        <v>0</v>
      </c>
      <c r="AJ41" s="3" t="n">
        <v>0.146142665076958</v>
      </c>
      <c r="AK41" s="168" t="n">
        <v>1.45164994607753E-014</v>
      </c>
      <c r="AL41" s="3" t="n">
        <v>0.0028790740850066</v>
      </c>
      <c r="AM41" s="3" t="n">
        <v>0.037307699491218</v>
      </c>
      <c r="AN41" s="3" t="n">
        <v>0.00403532973462802</v>
      </c>
      <c r="AO41" s="3" t="n">
        <v>0.0294599916073875</v>
      </c>
      <c r="AP41" s="3" t="n">
        <v>0.00349123291224407</v>
      </c>
      <c r="AQ41" s="3" t="n">
        <v>0.0320038991076119</v>
      </c>
      <c r="AR41" s="3" t="n">
        <v>0.138552316410121</v>
      </c>
      <c r="AS41" s="3" t="n">
        <v>0.182229528644905</v>
      </c>
      <c r="AT41" s="3" t="n">
        <v>0.137802028757594</v>
      </c>
      <c r="AU41" s="168" t="n">
        <v>0.000121655331611387</v>
      </c>
      <c r="AV41" s="168" t="n">
        <v>0.000416342867345641</v>
      </c>
      <c r="AW41" s="168" t="n">
        <v>0.00026236772388529</v>
      </c>
      <c r="AX41" s="3" t="n">
        <v>0.00116786684116134</v>
      </c>
      <c r="AY41" s="3" t="n">
        <v>0.00397183460975009</v>
      </c>
      <c r="AZ41" s="3" t="n">
        <v>0.00257858680379691</v>
      </c>
      <c r="BA41" s="3" t="n">
        <v>0.00142429073096185</v>
      </c>
      <c r="BB41" s="3" t="n">
        <v>0.00156855638566192</v>
      </c>
      <c r="BC41" s="3" t="n">
        <v>0.00144754561748874</v>
      </c>
      <c r="BD41" s="3" t="n">
        <v>0.0047900806609204</v>
      </c>
      <c r="BE41" s="3" t="n">
        <v>0.00514261043512972</v>
      </c>
      <c r="BF41" s="3" t="n">
        <v>0.00458957181145732</v>
      </c>
      <c r="BG41" s="3" t="n">
        <v>0.114083473053414</v>
      </c>
      <c r="BH41" s="3" t="n">
        <v>0.121998800143508</v>
      </c>
      <c r="BI41" s="3" t="n">
        <v>0.109002385219773</v>
      </c>
      <c r="BJ41" s="168" t="n">
        <v>0.000432183167605811</v>
      </c>
      <c r="BK41" s="3" t="n">
        <v>0.00107784750057347</v>
      </c>
      <c r="BL41" s="3" t="n">
        <v>0.00190780458452939</v>
      </c>
      <c r="BM41" s="168" t="n">
        <v>0.000911074804150458</v>
      </c>
      <c r="BN41" s="3" t="n">
        <v>0.00893093062317925</v>
      </c>
      <c r="BO41" s="3" t="n">
        <v>0.00142886928525817</v>
      </c>
      <c r="BP41" s="3" t="n">
        <v>0.017926782173707</v>
      </c>
      <c r="BQ41" s="3" t="n">
        <v>0.158793487834309</v>
      </c>
      <c r="BR41" s="3" t="n">
        <v>0.0326160885699897</v>
      </c>
      <c r="BS41" s="169"/>
      <c r="BT41" s="169"/>
      <c r="BU41" s="169"/>
      <c r="BV41" s="169"/>
      <c r="BW41" s="169"/>
      <c r="BX41" s="169"/>
      <c r="BY41" s="169"/>
    </row>
    <row r="42" customFormat="false" ht="12.75" hidden="true" customHeight="false" outlineLevel="0" collapsed="false">
      <c r="A42" s="3" t="n">
        <v>1</v>
      </c>
      <c r="B42" s="3" t="n">
        <v>1.3</v>
      </c>
      <c r="C42" s="3" t="s">
        <v>228</v>
      </c>
      <c r="D42" s="3" t="s">
        <v>245</v>
      </c>
      <c r="E42" s="3" t="n">
        <v>0.887118489924059</v>
      </c>
      <c r="F42" s="3" t="n">
        <v>0.793821227601867</v>
      </c>
      <c r="G42" s="3" t="n">
        <v>0.258699186052151</v>
      </c>
      <c r="H42" s="3" t="n">
        <v>0.0983897184447751</v>
      </c>
      <c r="I42" s="3" t="n">
        <v>0.684826464753684</v>
      </c>
      <c r="J42" s="3" t="n">
        <v>0.776986515701948</v>
      </c>
      <c r="K42" s="3" t="n">
        <v>0.103100770288378</v>
      </c>
      <c r="L42" s="168" t="n">
        <v>3.84926820292691E-015</v>
      </c>
      <c r="M42" s="3" t="n">
        <v>0.149613590734975</v>
      </c>
      <c r="N42" s="3" t="n">
        <v>0</v>
      </c>
      <c r="O42" s="3" t="n">
        <v>0.0793754023839894</v>
      </c>
      <c r="P42" s="3" t="n">
        <v>0</v>
      </c>
      <c r="Q42" s="3" t="n">
        <v>0.158905983960352</v>
      </c>
      <c r="R42" s="168" t="n">
        <v>1.45164994607753E-014</v>
      </c>
      <c r="S42" s="3" t="n">
        <v>0.111132204062151</v>
      </c>
      <c r="T42" s="3" t="n">
        <v>0</v>
      </c>
      <c r="U42" s="3" t="n">
        <v>0.200537371902867</v>
      </c>
      <c r="V42" s="3" t="n">
        <v>0</v>
      </c>
      <c r="W42" s="3" t="n">
        <v>0.00181554350641771</v>
      </c>
      <c r="X42" s="3" t="n">
        <v>0.0272089765277577</v>
      </c>
      <c r="Y42" s="168" t="n">
        <v>0.0007540469796612</v>
      </c>
      <c r="Z42" s="3" t="n">
        <v>0.0345303894203472</v>
      </c>
      <c r="AA42" s="3" t="n">
        <v>0.00137659342697406</v>
      </c>
      <c r="AB42" s="3" t="n">
        <v>0.0481273106395172</v>
      </c>
      <c r="AC42" s="3" t="n">
        <v>0.397656607770613</v>
      </c>
      <c r="AD42" s="3" t="n">
        <v>0.086133487802444</v>
      </c>
      <c r="AE42" s="3" t="n">
        <v>0.46250871482897</v>
      </c>
      <c r="AF42" s="3" t="n">
        <v>0.038223836519392</v>
      </c>
      <c r="AG42" s="168" t="n">
        <v>2.58822077170515E-017</v>
      </c>
      <c r="AH42" s="3" t="n">
        <v>0.0495406435396129</v>
      </c>
      <c r="AI42" s="3" t="n">
        <v>0</v>
      </c>
      <c r="AJ42" s="3" t="n">
        <v>0.0385703191436178</v>
      </c>
      <c r="AK42" s="168" t="n">
        <v>1.45164994607753E-014</v>
      </c>
      <c r="AL42" s="3" t="n">
        <v>0.00142700293734402</v>
      </c>
      <c r="AM42" s="3" t="n">
        <v>0.038575471422682</v>
      </c>
      <c r="AN42" s="3" t="n">
        <v>0.0073010138524023</v>
      </c>
      <c r="AO42" s="3" t="n">
        <v>0.0331791774824049</v>
      </c>
      <c r="AP42" s="3" t="n">
        <v>0.00290292452236282</v>
      </c>
      <c r="AQ42" s="3" t="n">
        <v>0.0349096187895964</v>
      </c>
      <c r="AR42" s="3" t="n">
        <v>0.198535013447229</v>
      </c>
      <c r="AS42" s="3" t="n">
        <v>0.657189802164918</v>
      </c>
      <c r="AT42" s="3" t="n">
        <v>0.0973634492581773</v>
      </c>
      <c r="AU42" s="168" t="n">
        <v>9.5836118802305E-005</v>
      </c>
      <c r="AV42" s="168" t="n">
        <v>0.000297872225185056</v>
      </c>
      <c r="AW42" s="168" t="n">
        <v>0.000337291053089068</v>
      </c>
      <c r="AX42" s="168" t="n">
        <v>0.000920003552132338</v>
      </c>
      <c r="AY42" s="3" t="n">
        <v>0.00284167192476781</v>
      </c>
      <c r="AZ42" s="3" t="n">
        <v>0.00331492381531424</v>
      </c>
      <c r="BA42" s="3" t="n">
        <v>0.00131051547541644</v>
      </c>
      <c r="BB42" s="3" t="n">
        <v>0.00146641213407259</v>
      </c>
      <c r="BC42" s="3" t="n">
        <v>0.00150422589401247</v>
      </c>
      <c r="BD42" s="3" t="n">
        <v>0.00347814312032811</v>
      </c>
      <c r="BE42" s="3" t="n">
        <v>0.00444998559972165</v>
      </c>
      <c r="BF42" s="3" t="n">
        <v>0.00424305356375928</v>
      </c>
      <c r="BG42" s="3" t="n">
        <v>0.0825278328783325</v>
      </c>
      <c r="BH42" s="3" t="n">
        <v>0.105405154744414</v>
      </c>
      <c r="BI42" s="3" t="n">
        <v>0.100565353817482</v>
      </c>
      <c r="BJ42" s="3" t="n">
        <v>0.00124803273156483</v>
      </c>
      <c r="BK42" s="168" t="n">
        <v>0.000965269937916581</v>
      </c>
      <c r="BL42" s="3" t="n">
        <v>0.00211607472976643</v>
      </c>
      <c r="BM42" s="3" t="n">
        <v>0.00112171405744449</v>
      </c>
      <c r="BN42" s="3" t="n">
        <v>0.00468858658987256</v>
      </c>
      <c r="BO42" s="3" t="n">
        <v>0.00150019124485032</v>
      </c>
      <c r="BP42" s="3" t="n">
        <v>0.0252517840215357</v>
      </c>
      <c r="BQ42" s="3" t="n">
        <v>0.0835743480909271</v>
      </c>
      <c r="BR42" s="3" t="n">
        <v>0.0337515202170236</v>
      </c>
      <c r="BS42" s="169"/>
      <c r="BT42" s="169"/>
      <c r="BU42" s="169"/>
      <c r="BV42" s="169"/>
      <c r="BW42" s="169"/>
      <c r="BX42" s="169"/>
      <c r="BY42" s="169"/>
    </row>
    <row r="43" customFormat="false" ht="12.75" hidden="true" customHeight="false" outlineLevel="0" collapsed="false">
      <c r="A43" s="3" t="n">
        <v>1</v>
      </c>
      <c r="B43" s="3" t="n">
        <v>1.4</v>
      </c>
      <c r="C43" s="3" t="s">
        <v>229</v>
      </c>
      <c r="D43" s="3" t="s">
        <v>245</v>
      </c>
      <c r="E43" s="3" t="n">
        <v>0.919464404422499</v>
      </c>
      <c r="F43" s="3" t="n">
        <v>0.714677834072976</v>
      </c>
      <c r="G43" s="3" t="n">
        <v>0.316123846734246</v>
      </c>
      <c r="H43" s="3" t="n">
        <v>0.230808743810901</v>
      </c>
      <c r="I43" s="3" t="n">
        <v>0.499366132589709</v>
      </c>
      <c r="J43" s="3" t="n">
        <v>0.667599195566629</v>
      </c>
      <c r="K43" s="3" t="n">
        <v>0.0924670470680114</v>
      </c>
      <c r="L43" s="168" t="n">
        <v>4.05748494870409E-015</v>
      </c>
      <c r="M43" s="3" t="n">
        <v>0.151383652976163</v>
      </c>
      <c r="N43" s="3" t="n">
        <v>0</v>
      </c>
      <c r="O43" s="3" t="n">
        <v>0.0898086145725997</v>
      </c>
      <c r="P43" s="3" t="n">
        <v>0</v>
      </c>
      <c r="Q43" s="3" t="n">
        <v>0.165329937520652</v>
      </c>
      <c r="R43" s="168" t="n">
        <v>1.45164994607753E-014</v>
      </c>
      <c r="S43" s="3" t="n">
        <v>0.103363103749189</v>
      </c>
      <c r="T43" s="3" t="n">
        <v>0</v>
      </c>
      <c r="U43" s="3" t="n">
        <v>0.177921050884449</v>
      </c>
      <c r="V43" s="3" t="n">
        <v>0</v>
      </c>
      <c r="W43" s="3" t="n">
        <v>0.00159340341671713</v>
      </c>
      <c r="X43" s="3" t="n">
        <v>0.0316020674127811</v>
      </c>
      <c r="Y43" s="3" t="n">
        <v>0.0010790053433669</v>
      </c>
      <c r="Z43" s="3" t="n">
        <v>0.0525531109147282</v>
      </c>
      <c r="AA43" s="3" t="n">
        <v>0.00112391880399385</v>
      </c>
      <c r="AB43" s="3" t="n">
        <v>0.0616354480421174</v>
      </c>
      <c r="AC43" s="3" t="n">
        <v>0.342806916033576</v>
      </c>
      <c r="AD43" s="3" t="n">
        <v>0.252694623882517</v>
      </c>
      <c r="AE43" s="3" t="n">
        <v>0.455247429725565</v>
      </c>
      <c r="AF43" s="3" t="n">
        <v>0.0382220909547949</v>
      </c>
      <c r="AG43" s="168" t="n">
        <v>4.62995006904775E-017</v>
      </c>
      <c r="AH43" s="3" t="n">
        <v>0.0459157124996225</v>
      </c>
      <c r="AI43" s="3" t="n">
        <v>0</v>
      </c>
      <c r="AJ43" s="3" t="n">
        <v>0.0431924289863269</v>
      </c>
      <c r="AK43" s="168" t="n">
        <v>1.45164994607753E-014</v>
      </c>
      <c r="AL43" s="3" t="n">
        <v>0.00203256152774221</v>
      </c>
      <c r="AM43" s="3" t="n">
        <v>0.0208992980731399</v>
      </c>
      <c r="AN43" s="3" t="n">
        <v>0.00708007338367279</v>
      </c>
      <c r="AO43" s="3" t="n">
        <v>0.0255170010572456</v>
      </c>
      <c r="AP43" s="3" t="n">
        <v>0.00318344691103258</v>
      </c>
      <c r="AQ43" s="3" t="n">
        <v>0.0415950190390101</v>
      </c>
      <c r="AR43" s="3" t="n">
        <v>0.249487004417433</v>
      </c>
      <c r="AS43" s="3" t="n">
        <v>0.617608772343273</v>
      </c>
      <c r="AT43" s="3" t="n">
        <v>0.217991744152955</v>
      </c>
      <c r="AU43" s="168" t="n">
        <v>0.000255815629798818</v>
      </c>
      <c r="AV43" s="168" t="n">
        <v>0.000606332290155655</v>
      </c>
      <c r="AW43" s="168" t="n">
        <v>0.000319298713443156</v>
      </c>
      <c r="AX43" s="3" t="n">
        <v>0.00437129125637237</v>
      </c>
      <c r="AY43" s="3" t="n">
        <v>0.0102715449791622</v>
      </c>
      <c r="AZ43" s="3" t="n">
        <v>0.00549634161620393</v>
      </c>
      <c r="BA43" s="3" t="n">
        <v>0.00148669493990836</v>
      </c>
      <c r="BB43" s="3" t="n">
        <v>0.00160596297534784</v>
      </c>
      <c r="BC43" s="3" t="n">
        <v>0.00162952241736538</v>
      </c>
      <c r="BD43" s="3" t="n">
        <v>0.00407222497714066</v>
      </c>
      <c r="BE43" s="3" t="n">
        <v>0.004644356802725</v>
      </c>
      <c r="BF43" s="3" t="n">
        <v>0.00430060465128526</v>
      </c>
      <c r="BG43" s="3" t="n">
        <v>0.0966810874367315</v>
      </c>
      <c r="BH43" s="3" t="n">
        <v>0.109970375702549</v>
      </c>
      <c r="BI43" s="3" t="n">
        <v>0.101829857717185</v>
      </c>
      <c r="BJ43" s="3" t="n">
        <v>0.00100091394144885</v>
      </c>
      <c r="BK43" s="168" t="n">
        <v>0.000989888086743555</v>
      </c>
      <c r="BL43" s="3" t="n">
        <v>0.00136871913822566</v>
      </c>
      <c r="BM43" s="168" t="n">
        <v>0.000654339524867983</v>
      </c>
      <c r="BN43" s="3" t="n">
        <v>0.00430893655189977</v>
      </c>
      <c r="BO43" s="3" t="n">
        <v>0.0017755926062265</v>
      </c>
      <c r="BP43" s="3" t="n">
        <v>0.0154651027674252</v>
      </c>
      <c r="BQ43" s="3" t="n">
        <v>0.0751010311430063</v>
      </c>
      <c r="BR43" s="3" t="n">
        <v>0.032810852416903</v>
      </c>
      <c r="BS43" s="169"/>
      <c r="BT43" s="169"/>
      <c r="BU43" s="169"/>
      <c r="BV43" s="169"/>
      <c r="BW43" s="169"/>
      <c r="BX43" s="169"/>
      <c r="BY43" s="169"/>
    </row>
    <row r="44" customFormat="false" ht="12.75" hidden="true" customHeight="false" outlineLevel="0" collapsed="false">
      <c r="A44" s="3" t="n">
        <v>1</v>
      </c>
      <c r="B44" s="3" t="n">
        <v>1.4</v>
      </c>
      <c r="C44" s="3" t="s">
        <v>230</v>
      </c>
      <c r="D44" s="3" t="s">
        <v>245</v>
      </c>
      <c r="E44" s="3" t="n">
        <v>1.6086300173534</v>
      </c>
      <c r="F44" s="3" t="n">
        <v>1.48176747485016</v>
      </c>
      <c r="G44" s="3" t="n">
        <v>0.304346987054696</v>
      </c>
      <c r="H44" s="3" t="n">
        <v>0.138843610967605</v>
      </c>
      <c r="I44" s="3" t="n">
        <v>1.20526679952859</v>
      </c>
      <c r="J44" s="3" t="n">
        <v>1.33149210293468</v>
      </c>
      <c r="K44" s="3" t="n">
        <v>0.113781630897569</v>
      </c>
      <c r="L44" s="168" t="n">
        <v>3.62912486519383E-015</v>
      </c>
      <c r="M44" s="3" t="n">
        <v>0.207324504139443</v>
      </c>
      <c r="N44" s="3" t="n">
        <v>0</v>
      </c>
      <c r="O44" s="3" t="n">
        <v>0.118068655328222</v>
      </c>
      <c r="P44" s="3" t="n">
        <v>0</v>
      </c>
      <c r="Q44" s="3" t="n">
        <v>0.206732984262009</v>
      </c>
      <c r="R44" s="168" t="n">
        <v>5.92633608838112E-015</v>
      </c>
      <c r="S44" s="3" t="n">
        <v>0.110477223188672</v>
      </c>
      <c r="T44" s="3" t="n">
        <v>0</v>
      </c>
      <c r="U44" s="3" t="n">
        <v>0.177631977699547</v>
      </c>
      <c r="V44" s="3" t="n">
        <v>0</v>
      </c>
      <c r="W44" s="3" t="n">
        <v>0.00306254039929574</v>
      </c>
      <c r="X44" s="3" t="n">
        <v>0.0299304821396644</v>
      </c>
      <c r="Y44" s="3" t="n">
        <v>0.00111566218148171</v>
      </c>
      <c r="Z44" s="3" t="n">
        <v>0.0335815031878254</v>
      </c>
      <c r="AA44" s="3" t="n">
        <v>0.00197046062750953</v>
      </c>
      <c r="AB44" s="3" t="n">
        <v>0.0474591007542373</v>
      </c>
      <c r="AC44" s="3" t="n">
        <v>0.589519350834189</v>
      </c>
      <c r="AD44" s="3" t="n">
        <v>0.347658150020057</v>
      </c>
      <c r="AE44" s="3" t="n">
        <v>0.697286936907532</v>
      </c>
      <c r="AF44" s="3" t="n">
        <v>0.0538946854684104</v>
      </c>
      <c r="AG44" s="168" t="n">
        <v>4.17338059419743E-017</v>
      </c>
      <c r="AH44" s="3" t="n">
        <v>0.046171176120474</v>
      </c>
      <c r="AI44" s="3" t="n">
        <v>0</v>
      </c>
      <c r="AJ44" s="3" t="n">
        <v>0.05360036964506</v>
      </c>
      <c r="AK44" s="168" t="n">
        <v>1.45164994607753E-014</v>
      </c>
      <c r="AL44" s="3" t="n">
        <v>0.00521686153077034</v>
      </c>
      <c r="AM44" s="3" t="n">
        <v>0.0494894485088005</v>
      </c>
      <c r="AN44" s="3" t="n">
        <v>0.0117701099045019</v>
      </c>
      <c r="AO44" s="3" t="n">
        <v>0.0215522969967018</v>
      </c>
      <c r="AP44" s="3" t="n">
        <v>0.00291048008824268</v>
      </c>
      <c r="AQ44" s="3" t="n">
        <v>0.0279295297991374</v>
      </c>
      <c r="AR44" s="3" t="n">
        <v>0.309977997419261</v>
      </c>
      <c r="AS44" s="3" t="n">
        <v>0.979383379727377</v>
      </c>
      <c r="AT44" s="3" t="n">
        <v>0.225896768952508</v>
      </c>
      <c r="AU44" s="168" t="n">
        <v>0.000928620111873012</v>
      </c>
      <c r="AV44" s="3" t="n">
        <v>0.00109904852644317</v>
      </c>
      <c r="AW44" s="168" t="n">
        <v>0.000247253909130684</v>
      </c>
      <c r="AX44" s="3" t="n">
        <v>0.0158675901167729</v>
      </c>
      <c r="AY44" s="3" t="n">
        <v>0.0186185354335811</v>
      </c>
      <c r="AZ44" s="3" t="n">
        <v>0.00425621319044801</v>
      </c>
      <c r="BA44" s="3" t="n">
        <v>0.00143646725220864</v>
      </c>
      <c r="BB44" s="3" t="n">
        <v>0.00158199657997656</v>
      </c>
      <c r="BC44" s="3" t="n">
        <v>0.00168186391354866</v>
      </c>
      <c r="BD44" s="3" t="n">
        <v>0.00414482133100721</v>
      </c>
      <c r="BE44" s="3" t="n">
        <v>0.0043710985367647</v>
      </c>
      <c r="BF44" s="3" t="n">
        <v>0.00361003131024012</v>
      </c>
      <c r="BG44" s="3" t="n">
        <v>0.098522004181545</v>
      </c>
      <c r="BH44" s="3" t="n">
        <v>0.103416098182954</v>
      </c>
      <c r="BI44" s="3" t="n">
        <v>0.0851143518205127</v>
      </c>
      <c r="BJ44" s="3" t="n">
        <v>0.00181871147409729</v>
      </c>
      <c r="BK44" s="3" t="n">
        <v>0.00152925654436277</v>
      </c>
      <c r="BL44" s="3" t="n">
        <v>0.00207058319271914</v>
      </c>
      <c r="BM44" s="168" t="n">
        <v>0.000708191877501404</v>
      </c>
      <c r="BN44" s="3" t="n">
        <v>0.00569821165789826</v>
      </c>
      <c r="BO44" s="3" t="n">
        <v>0.00218133297557906</v>
      </c>
      <c r="BP44" s="3" t="n">
        <v>0.0195235339103708</v>
      </c>
      <c r="BQ44" s="3" t="n">
        <v>0.0984385092259227</v>
      </c>
      <c r="BR44" s="3" t="n">
        <v>0.0471226630575984</v>
      </c>
      <c r="BS44" s="169"/>
      <c r="BT44" s="169"/>
      <c r="BU44" s="169"/>
      <c r="BV44" s="169"/>
      <c r="BW44" s="169"/>
      <c r="BX44" s="169"/>
      <c r="BY44" s="169"/>
    </row>
    <row r="45" customFormat="false" ht="12.75" hidden="true" customHeight="false" outlineLevel="0" collapsed="false">
      <c r="A45" s="3" t="n">
        <v>1</v>
      </c>
      <c r="B45" s="3" t="n">
        <v>1.4</v>
      </c>
      <c r="C45" s="3" t="s">
        <v>231</v>
      </c>
      <c r="D45" s="3" t="s">
        <v>245</v>
      </c>
      <c r="E45" s="3" t="n">
        <v>0.403150617285186</v>
      </c>
      <c r="F45" s="3" t="n">
        <v>0.41138776493258</v>
      </c>
      <c r="G45" s="3" t="n">
        <v>0.176960665174468</v>
      </c>
      <c r="H45" s="3" t="n">
        <v>0.10333514523423</v>
      </c>
      <c r="I45" s="3" t="n">
        <v>0.52204437031068</v>
      </c>
      <c r="J45" s="3" t="n">
        <v>0.487661657140596</v>
      </c>
      <c r="K45" s="3" t="n">
        <v>0.111025232616449</v>
      </c>
      <c r="L45" s="168" t="n">
        <v>4.68518005473432E-015</v>
      </c>
      <c r="M45" s="3" t="n">
        <v>0.207096703727826</v>
      </c>
      <c r="N45" s="3" t="n">
        <v>0</v>
      </c>
      <c r="O45" s="3" t="n">
        <v>0.117619089618791</v>
      </c>
      <c r="P45" s="3" t="n">
        <v>0</v>
      </c>
      <c r="Q45" s="3" t="n">
        <v>0.196264755723317</v>
      </c>
      <c r="R45" s="168" t="n">
        <v>1.02647152078051E-014</v>
      </c>
      <c r="S45" s="3" t="n">
        <v>0.11831908354291</v>
      </c>
      <c r="T45" s="3" t="n">
        <v>0</v>
      </c>
      <c r="U45" s="3" t="n">
        <v>0.197713711251053</v>
      </c>
      <c r="V45" s="3" t="n">
        <v>0</v>
      </c>
      <c r="W45" s="3" t="n">
        <v>0.00163296105704959</v>
      </c>
      <c r="X45" s="3" t="n">
        <v>0.0472423402990774</v>
      </c>
      <c r="Y45" s="3" t="n">
        <v>0.00135347866654675</v>
      </c>
      <c r="Z45" s="3" t="n">
        <v>0.0238735095651874</v>
      </c>
      <c r="AA45" s="3" t="n">
        <v>0.00192577898093361</v>
      </c>
      <c r="AB45" s="3" t="n">
        <v>0.0214156324700121</v>
      </c>
      <c r="AC45" s="3" t="n">
        <v>0.281028359618992</v>
      </c>
      <c r="AD45" s="3" t="n">
        <v>0.21322668737449</v>
      </c>
      <c r="AE45" s="3" t="n">
        <v>0.303345623049325</v>
      </c>
      <c r="AF45" s="3" t="n">
        <v>0.0534664527016041</v>
      </c>
      <c r="AG45" s="168" t="n">
        <v>5.67050760186537E-017</v>
      </c>
      <c r="AH45" s="3" t="n">
        <v>0.0497379735299866</v>
      </c>
      <c r="AI45" s="3" t="n">
        <v>0</v>
      </c>
      <c r="AJ45" s="3" t="n">
        <v>0.0487425661593377</v>
      </c>
      <c r="AK45" s="168" t="n">
        <v>1.45164994607753E-014</v>
      </c>
      <c r="AL45" s="3" t="n">
        <v>0.00458573635013734</v>
      </c>
      <c r="AM45" s="3" t="n">
        <v>0.021302319895955</v>
      </c>
      <c r="AN45" s="3" t="n">
        <v>0.00951853302636016</v>
      </c>
      <c r="AO45" s="3" t="n">
        <v>0.0125418921301654</v>
      </c>
      <c r="AP45" s="3" t="n">
        <v>0.00401478219193721</v>
      </c>
      <c r="AQ45" s="3" t="n">
        <v>0.0224774057311483</v>
      </c>
      <c r="AR45" s="3" t="n">
        <v>0.301002636406919</v>
      </c>
      <c r="AS45" s="3" t="n">
        <v>0.710403997238732</v>
      </c>
      <c r="AT45" s="3" t="n">
        <v>0.0667850295589569</v>
      </c>
      <c r="AU45" s="168" t="n">
        <v>9.0209373207687E-005</v>
      </c>
      <c r="AV45" s="168" t="n">
        <v>0.000671513716393348</v>
      </c>
      <c r="AW45" s="168" t="n">
        <v>0.00028665565756859</v>
      </c>
      <c r="AX45" s="3" t="n">
        <v>0.00154147177291172</v>
      </c>
      <c r="AY45" s="3" t="n">
        <v>0.0113756796848451</v>
      </c>
      <c r="AZ45" s="3" t="n">
        <v>0.00493464070551506</v>
      </c>
      <c r="BA45" s="3" t="n">
        <v>0.00142734671727169</v>
      </c>
      <c r="BB45" s="3" t="n">
        <v>0.00156379489555437</v>
      </c>
      <c r="BC45" s="3" t="n">
        <v>0.00167902681075416</v>
      </c>
      <c r="BD45" s="3" t="n">
        <v>0.00492986702320846</v>
      </c>
      <c r="BE45" s="3" t="n">
        <v>0.00436751976020853</v>
      </c>
      <c r="BF45" s="3" t="n">
        <v>0.00373305546420049</v>
      </c>
      <c r="BG45" s="3" t="n">
        <v>0.117434400034136</v>
      </c>
      <c r="BH45" s="3" t="n">
        <v>0.103317702646206</v>
      </c>
      <c r="BI45" s="3" t="n">
        <v>0.0880913187997473</v>
      </c>
      <c r="BJ45" s="3" t="n">
        <v>0.00188927260381333</v>
      </c>
      <c r="BK45" s="168" t="n">
        <v>0.000344197880396924</v>
      </c>
      <c r="BL45" s="3" t="n">
        <v>0.00147055049497152</v>
      </c>
      <c r="BM45" s="168" t="n">
        <v>0.000652839665119669</v>
      </c>
      <c r="BN45" s="3" t="n">
        <v>0.00637811635801462</v>
      </c>
      <c r="BO45" s="3" t="n">
        <v>0.00179163883938121</v>
      </c>
      <c r="BP45" s="3" t="n">
        <v>0.0178870400591463</v>
      </c>
      <c r="BQ45" s="3" t="n">
        <v>0.115926867342716</v>
      </c>
      <c r="BR45" s="3" t="n">
        <v>0.0376305173480741</v>
      </c>
      <c r="BS45" s="169"/>
      <c r="BT45" s="169"/>
      <c r="BU45" s="169"/>
      <c r="BV45" s="169"/>
      <c r="BW45" s="169"/>
      <c r="BX45" s="169"/>
      <c r="BY45" s="169"/>
    </row>
    <row r="46" customFormat="false" ht="12.75" hidden="true" customHeight="false" outlineLevel="0" collapsed="false">
      <c r="A46" s="3" t="n">
        <v>2</v>
      </c>
      <c r="B46" s="3" t="n">
        <v>2.1</v>
      </c>
      <c r="C46" s="3" t="s">
        <v>232</v>
      </c>
      <c r="D46" s="3" t="s">
        <v>245</v>
      </c>
      <c r="E46" s="3" t="n">
        <v>0.0576753107201552</v>
      </c>
      <c r="F46" s="3" t="n">
        <v>0.0372099729692005</v>
      </c>
      <c r="G46" s="3" t="n">
        <v>0.00811096706468286</v>
      </c>
      <c r="H46" s="3" t="n">
        <v>0.0417131381343794</v>
      </c>
      <c r="I46" s="3" t="n">
        <v>0.040125730597902</v>
      </c>
      <c r="J46" s="3" t="n">
        <v>0.0591919846869985</v>
      </c>
      <c r="K46" s="3" t="n">
        <v>0.130542549573988</v>
      </c>
      <c r="L46" s="168" t="n">
        <v>4.68518005473432E-015</v>
      </c>
      <c r="M46" s="3" t="n">
        <v>0.179950395580474</v>
      </c>
      <c r="N46" s="3" t="n">
        <v>0</v>
      </c>
      <c r="O46" s="3" t="n">
        <v>0.0986272704593453</v>
      </c>
      <c r="P46" s="3" t="n">
        <v>0</v>
      </c>
      <c r="Q46" s="3" t="n">
        <v>0.159644577044475</v>
      </c>
      <c r="R46" s="168" t="n">
        <v>1.45164994607753E-014</v>
      </c>
      <c r="S46" s="3" t="n">
        <v>0.0944930285865059</v>
      </c>
      <c r="T46" s="3" t="n">
        <v>0</v>
      </c>
      <c r="U46" s="3" t="n">
        <v>0.221929731352013</v>
      </c>
      <c r="V46" s="3" t="n">
        <v>0</v>
      </c>
      <c r="W46" s="168" t="n">
        <v>0.000355003693644793</v>
      </c>
      <c r="X46" s="3" t="n">
        <v>0.0119811661525978</v>
      </c>
      <c r="Y46" s="168" t="n">
        <v>0.000359345488183074</v>
      </c>
      <c r="Z46" s="3" t="n">
        <v>0.0347777774812914</v>
      </c>
      <c r="AA46" s="168" t="n">
        <v>0.00025518590236378</v>
      </c>
      <c r="AB46" s="3" t="n">
        <v>0.0220591759919598</v>
      </c>
      <c r="AC46" s="3" t="n">
        <v>0.0353421565854241</v>
      </c>
      <c r="AD46" s="3" t="n">
        <v>0.030220088555773</v>
      </c>
      <c r="AE46" s="3" t="n">
        <v>0.0169831756626065</v>
      </c>
      <c r="AF46" s="3" t="n">
        <v>0.0453515402164038</v>
      </c>
      <c r="AG46" s="168" t="n">
        <v>2.168404344971E-019</v>
      </c>
      <c r="AH46" s="3" t="n">
        <v>0.055961147365762</v>
      </c>
      <c r="AI46" s="3" t="n">
        <v>0</v>
      </c>
      <c r="AJ46" s="3" t="n">
        <v>0.040007286256669</v>
      </c>
      <c r="AK46" s="168" t="n">
        <v>1.45164994607753E-014</v>
      </c>
      <c r="AL46" s="168" t="n">
        <v>7.08961361501101E-005</v>
      </c>
      <c r="AM46" s="3" t="n">
        <v>0.0201867836591553</v>
      </c>
      <c r="AN46" s="168" t="n">
        <v>0.000638000738946</v>
      </c>
      <c r="AO46" s="3" t="n">
        <v>0.070554008438441</v>
      </c>
      <c r="AP46" s="168" t="n">
        <v>0.000674052654743968</v>
      </c>
      <c r="AQ46" s="3" t="n">
        <v>0.0415482300264384</v>
      </c>
      <c r="AR46" s="3" t="n">
        <v>0.006802382932857</v>
      </c>
      <c r="AS46" s="3" t="n">
        <v>0.0153824916606652</v>
      </c>
      <c r="AT46" s="3" t="n">
        <v>0.0190928594619762</v>
      </c>
      <c r="AU46" s="168" t="n">
        <v>9.48394887352905E-005</v>
      </c>
      <c r="AV46" s="168" t="n">
        <v>0.000157886800165957</v>
      </c>
      <c r="AW46" s="168" t="n">
        <v>0.000149814234730905</v>
      </c>
      <c r="AX46" s="168" t="n">
        <v>1.01567160312526E-021</v>
      </c>
      <c r="AY46" s="168" t="n">
        <v>1.70352783946484E-021</v>
      </c>
      <c r="AZ46" s="168" t="n">
        <v>1.60443351611798E-021</v>
      </c>
      <c r="BA46" s="168" t="n">
        <v>0.000578474299155129</v>
      </c>
      <c r="BB46" s="168" t="n">
        <v>0.000488862028785679</v>
      </c>
      <c r="BC46" s="168" t="n">
        <v>0.000792133859826513</v>
      </c>
      <c r="BD46" s="168" t="n">
        <v>0.000188599825453048</v>
      </c>
      <c r="BE46" s="168" t="n">
        <v>0.000179931504551722</v>
      </c>
      <c r="BF46" s="168" t="n">
        <v>0.000171668640673241</v>
      </c>
      <c r="BG46" s="3" t="n">
        <v>0.00457276335919257</v>
      </c>
      <c r="BH46" s="3" t="n">
        <v>0.00435417397772975</v>
      </c>
      <c r="BI46" s="3" t="n">
        <v>0.00416752297490196</v>
      </c>
      <c r="BJ46" s="168" t="n">
        <v>0.00027926226829233</v>
      </c>
      <c r="BK46" s="168" t="n">
        <v>0.000198668833029775</v>
      </c>
      <c r="BL46" s="168" t="n">
        <v>4.88582925782356E-005</v>
      </c>
      <c r="BM46" s="168" t="n">
        <v>8.26523240505654E-005</v>
      </c>
      <c r="BN46" s="168" t="n">
        <v>7.69117600694076E-005</v>
      </c>
      <c r="BO46" s="168" t="n">
        <v>0.000175290718554156</v>
      </c>
      <c r="BP46" s="3" t="n">
        <v>0.00156781010270473</v>
      </c>
      <c r="BQ46" s="3" t="n">
        <v>0.00143111851907752</v>
      </c>
      <c r="BR46" s="3" t="n">
        <v>0.00327830585767613</v>
      </c>
      <c r="BS46" s="169"/>
      <c r="BT46" s="169"/>
      <c r="BU46" s="169"/>
      <c r="BV46" s="169"/>
      <c r="BW46" s="169"/>
      <c r="BX46" s="169"/>
      <c r="BY46" s="169"/>
    </row>
    <row r="47" customFormat="false" ht="12.75" hidden="true" customHeight="false" outlineLevel="0" collapsed="false">
      <c r="A47" s="3" t="n">
        <v>2</v>
      </c>
      <c r="B47" s="3" t="n">
        <v>2.1</v>
      </c>
      <c r="C47" s="3" t="s">
        <v>233</v>
      </c>
      <c r="D47" s="3" t="s">
        <v>245</v>
      </c>
      <c r="E47" s="3" t="n">
        <v>0.0423951125231171</v>
      </c>
      <c r="F47" s="3" t="n">
        <v>0.0210248875775095</v>
      </c>
      <c r="G47" s="3" t="n">
        <v>0.0103200562746889</v>
      </c>
      <c r="H47" s="3" t="n">
        <v>0.0361444169294291</v>
      </c>
      <c r="I47" s="3" t="n">
        <v>0.0231585245468797</v>
      </c>
      <c r="J47" s="3" t="n">
        <v>0.0460141429184263</v>
      </c>
      <c r="K47" s="3" t="n">
        <v>0.106901540311703</v>
      </c>
      <c r="L47" s="168" t="n">
        <v>4.19055243568485E-015</v>
      </c>
      <c r="M47" s="3" t="n">
        <v>0.162921707728816</v>
      </c>
      <c r="N47" s="3" t="n">
        <v>0</v>
      </c>
      <c r="O47" s="3" t="n">
        <v>0.0958168070337596</v>
      </c>
      <c r="P47" s="3" t="n">
        <v>0</v>
      </c>
      <c r="Q47" s="3" t="n">
        <v>0.177529439265143</v>
      </c>
      <c r="R47" s="168" t="n">
        <v>8.88950413257169E-015</v>
      </c>
      <c r="S47" s="3" t="n">
        <v>0.0990808697332658</v>
      </c>
      <c r="T47" s="3" t="n">
        <v>0</v>
      </c>
      <c r="U47" s="3" t="n">
        <v>0.182262735868394</v>
      </c>
      <c r="V47" s="3" t="n">
        <v>0</v>
      </c>
      <c r="W47" s="168" t="n">
        <v>0.00034027933255242</v>
      </c>
      <c r="X47" s="3" t="n">
        <v>0.0182441181948313</v>
      </c>
      <c r="Y47" s="168" t="n">
        <v>0.000355851714621795</v>
      </c>
      <c r="Z47" s="3" t="n">
        <v>0.032424389085845</v>
      </c>
      <c r="AA47" s="168" t="n">
        <v>0.000298877906640039</v>
      </c>
      <c r="AB47" s="3" t="n">
        <v>0.0213819062524916</v>
      </c>
      <c r="AC47" s="3" t="n">
        <v>0.0283739117162172</v>
      </c>
      <c r="AD47" s="3" t="n">
        <v>0.0276437706229379</v>
      </c>
      <c r="AE47" s="3" t="n">
        <v>0.0109887403555388</v>
      </c>
      <c r="AF47" s="3" t="n">
        <v>0.0407619234000967</v>
      </c>
      <c r="AG47" s="168" t="n">
        <v>1.49959054463979E-019</v>
      </c>
      <c r="AH47" s="3" t="n">
        <v>0.0457217628627276</v>
      </c>
      <c r="AI47" s="168" t="n">
        <v>5.92633608838112E-015</v>
      </c>
      <c r="AJ47" s="3" t="n">
        <v>0.0445578234887883</v>
      </c>
      <c r="AK47" s="168" t="n">
        <v>1.18526721767622E-014</v>
      </c>
      <c r="AL47" s="168" t="n">
        <v>7.40912147386442E-005</v>
      </c>
      <c r="AM47" s="3" t="n">
        <v>0.0218835027742578</v>
      </c>
      <c r="AN47" s="168" t="n">
        <v>0.000218370676203018</v>
      </c>
      <c r="AO47" s="3" t="n">
        <v>0.031191757579762</v>
      </c>
      <c r="AP47" s="168" t="n">
        <v>0.000275232438462262</v>
      </c>
      <c r="AQ47" s="3" t="n">
        <v>0.0166444680783956</v>
      </c>
      <c r="AR47" s="3" t="n">
        <v>0.0105581663468941</v>
      </c>
      <c r="AS47" s="3" t="n">
        <v>0.00728660331399906</v>
      </c>
      <c r="AT47" s="3" t="n">
        <v>0.0112341108040637</v>
      </c>
      <c r="AU47" s="168" t="n">
        <v>7.15163141422239E-005</v>
      </c>
      <c r="AV47" s="168" t="n">
        <v>0.000113236204329121</v>
      </c>
      <c r="AW47" s="168" t="n">
        <v>0.00034089773382553</v>
      </c>
      <c r="AX47" s="168" t="n">
        <v>7.65895151539276E-022</v>
      </c>
      <c r="AY47" s="168" t="n">
        <v>1.22175422605603E-021</v>
      </c>
      <c r="AZ47" s="168" t="n">
        <v>3.65079522334598E-021</v>
      </c>
      <c r="BA47" s="168" t="n">
        <v>0.000497911352333678</v>
      </c>
      <c r="BB47" s="168" t="n">
        <v>0.000413703984963016</v>
      </c>
      <c r="BC47" s="168" t="n">
        <v>0.000683890575565494</v>
      </c>
      <c r="BD47" s="168" t="n">
        <v>0.000203602781522505</v>
      </c>
      <c r="BE47" s="168" t="n">
        <v>0.000220327989387443</v>
      </c>
      <c r="BF47" s="168" t="n">
        <v>0.000159288450605235</v>
      </c>
      <c r="BG47" s="3" t="n">
        <v>0.00493256480474234</v>
      </c>
      <c r="BH47" s="3" t="n">
        <v>0.00532915183636084</v>
      </c>
      <c r="BI47" s="3" t="n">
        <v>0.00385946850885489</v>
      </c>
      <c r="BJ47" s="168" t="n">
        <v>0.000242931391131176</v>
      </c>
      <c r="BK47" s="168" t="n">
        <v>0.000166355082949504</v>
      </c>
      <c r="BL47" s="168" t="n">
        <v>8.1683972138664E-005</v>
      </c>
      <c r="BM47" s="168" t="n">
        <v>6.49359132373951E-005</v>
      </c>
      <c r="BN47" s="168" t="n">
        <v>0.000108408973658417</v>
      </c>
      <c r="BO47" s="168" t="n">
        <v>0.000113729629036106</v>
      </c>
      <c r="BP47" s="3" t="n">
        <v>0.00123193417050534</v>
      </c>
      <c r="BQ47" s="3" t="n">
        <v>0.00201658310906046</v>
      </c>
      <c r="BR47" s="3" t="n">
        <v>0.00212709655392858</v>
      </c>
      <c r="BS47" s="169"/>
      <c r="BT47" s="169"/>
      <c r="BU47" s="169"/>
      <c r="BV47" s="169"/>
      <c r="BW47" s="169"/>
      <c r="BX47" s="169"/>
      <c r="BY47" s="169"/>
    </row>
    <row r="48" customFormat="false" ht="12.75" hidden="true" customHeight="false" outlineLevel="0" collapsed="false">
      <c r="A48" s="3" t="n">
        <v>2</v>
      </c>
      <c r="B48" s="3" t="n">
        <v>2.1</v>
      </c>
      <c r="C48" s="3" t="s">
        <v>234</v>
      </c>
      <c r="D48" s="3" t="s">
        <v>245</v>
      </c>
      <c r="E48" s="3" t="n">
        <v>0.0443393817139491</v>
      </c>
      <c r="F48" s="3" t="n">
        <v>0.0222433985001492</v>
      </c>
      <c r="G48" s="3" t="n">
        <v>0.00726897038203931</v>
      </c>
      <c r="H48" s="3" t="n">
        <v>0.0337243099191572</v>
      </c>
      <c r="I48" s="3" t="n">
        <v>0.0235446557865599</v>
      </c>
      <c r="J48" s="3" t="n">
        <v>0.0439800810912081</v>
      </c>
      <c r="K48" s="3" t="n">
        <v>0.0862622832211184</v>
      </c>
      <c r="L48" s="168" t="n">
        <v>3.62912486519383E-015</v>
      </c>
      <c r="M48" s="3" t="n">
        <v>0.154919777872584</v>
      </c>
      <c r="N48" s="3" t="n">
        <v>0</v>
      </c>
      <c r="O48" s="3" t="n">
        <v>0.0904575789439745</v>
      </c>
      <c r="P48" s="168" t="n">
        <v>5.92633608838112E-015</v>
      </c>
      <c r="Q48" s="3" t="n">
        <v>0.152284944965158</v>
      </c>
      <c r="R48" s="168" t="n">
        <v>1.45164994607753E-014</v>
      </c>
      <c r="S48" s="3" t="n">
        <v>0.0799772136389408</v>
      </c>
      <c r="T48" s="3" t="n">
        <v>0</v>
      </c>
      <c r="U48" s="3" t="n">
        <v>0.137384834550598</v>
      </c>
      <c r="V48" s="3" t="n">
        <v>0</v>
      </c>
      <c r="W48" s="168" t="n">
        <v>0.000371253986137774</v>
      </c>
      <c r="X48" s="3" t="n">
        <v>0.0123579165462668</v>
      </c>
      <c r="Y48" s="168" t="n">
        <v>0.00037135512347405</v>
      </c>
      <c r="Z48" s="3" t="n">
        <v>0.0325326048292171</v>
      </c>
      <c r="AA48" s="168" t="n">
        <v>0.00028781530425817</v>
      </c>
      <c r="AB48" s="3" t="n">
        <v>0.0190791009137497</v>
      </c>
      <c r="AC48" s="3" t="n">
        <v>0.0321141657428975</v>
      </c>
      <c r="AD48" s="3" t="n">
        <v>0.0207256763528379</v>
      </c>
      <c r="AE48" s="3" t="n">
        <v>0.0107310603106742</v>
      </c>
      <c r="AF48" s="3" t="n">
        <v>0.038878563334522</v>
      </c>
      <c r="AG48" s="168" t="n">
        <v>9.04287122860889E-020</v>
      </c>
      <c r="AH48" s="3" t="n">
        <v>0.0345006047836085</v>
      </c>
      <c r="AI48" s="3" t="n">
        <v>0</v>
      </c>
      <c r="AJ48" s="3" t="n">
        <v>0.0382412609700529</v>
      </c>
      <c r="AK48" s="168" t="n">
        <v>4.19055243568485E-015</v>
      </c>
      <c r="AL48" s="168" t="n">
        <v>8.40292220909942E-005</v>
      </c>
      <c r="AM48" s="3" t="n">
        <v>0.0184316515582675</v>
      </c>
      <c r="AN48" s="168" t="n">
        <v>0.000543308879269199</v>
      </c>
      <c r="AO48" s="3" t="n">
        <v>0.0761539344883855</v>
      </c>
      <c r="AP48" s="168" t="n">
        <v>0.000522585033876672</v>
      </c>
      <c r="AQ48" s="3" t="n">
        <v>0.0325323116872965</v>
      </c>
      <c r="AR48" s="3" t="n">
        <v>0.0057958346806065</v>
      </c>
      <c r="AS48" s="3" t="n">
        <v>0.00924098487670666</v>
      </c>
      <c r="AT48" s="3" t="n">
        <v>0.0128527561897793</v>
      </c>
      <c r="AU48" s="168" t="n">
        <v>7.41124155914185E-005</v>
      </c>
      <c r="AV48" s="168" t="n">
        <v>0.000803146826686304</v>
      </c>
      <c r="AW48" s="168" t="n">
        <v>0.000120467162824483</v>
      </c>
      <c r="AX48" s="168" t="n">
        <v>7.9370081367066E-022</v>
      </c>
      <c r="AY48" s="168" t="n">
        <v>8.66570604166859E-021</v>
      </c>
      <c r="AZ48" s="168" t="n">
        <v>1.2900968929692E-021</v>
      </c>
      <c r="BA48" s="168" t="n">
        <v>0.000203167752312688</v>
      </c>
      <c r="BB48" s="168" t="n">
        <v>0.000365180213998755</v>
      </c>
      <c r="BC48" s="168" t="n">
        <v>0.000515003610511653</v>
      </c>
      <c r="BD48" s="168" t="n">
        <v>0.000134695904577921</v>
      </c>
      <c r="BE48" s="168" t="n">
        <v>0.000179426422032852</v>
      </c>
      <c r="BF48" s="168" t="n">
        <v>0.000136958080584145</v>
      </c>
      <c r="BG48" s="3" t="n">
        <v>0.00326690489914264</v>
      </c>
      <c r="BH48" s="3" t="n">
        <v>0.00434398048642702</v>
      </c>
      <c r="BI48" s="3" t="n">
        <v>0.00330835275762549</v>
      </c>
      <c r="BJ48" s="168" t="n">
        <v>0.00019945918110555</v>
      </c>
      <c r="BK48" s="168" t="n">
        <v>0.000152789262844872</v>
      </c>
      <c r="BL48" s="168" t="n">
        <v>9.72713457817563E-005</v>
      </c>
      <c r="BM48" s="168" t="n">
        <v>9.70664993461591E-005</v>
      </c>
      <c r="BN48" s="168" t="n">
        <v>7.32831478919081E-005</v>
      </c>
      <c r="BO48" s="168" t="n">
        <v>0.00010349007237563</v>
      </c>
      <c r="BP48" s="3" t="n">
        <v>0.00184177016607239</v>
      </c>
      <c r="BQ48" s="3" t="n">
        <v>0.00136336954275651</v>
      </c>
      <c r="BR48" s="3" t="n">
        <v>0.00193547313466195</v>
      </c>
      <c r="BS48" s="169"/>
      <c r="BT48" s="169"/>
      <c r="BU48" s="169"/>
      <c r="BV48" s="169"/>
      <c r="BW48" s="169"/>
      <c r="BX48" s="169"/>
      <c r="BY48" s="169"/>
    </row>
    <row r="49" customFormat="false" ht="12.75" hidden="true" customHeight="false" outlineLevel="0" collapsed="false">
      <c r="A49" s="3" t="n">
        <v>2</v>
      </c>
      <c r="B49" s="3" t="n">
        <v>2.2</v>
      </c>
      <c r="C49" s="3" t="s">
        <v>235</v>
      </c>
      <c r="D49" s="3" t="s">
        <v>245</v>
      </c>
      <c r="E49" s="3" t="n">
        <v>0.56059405866279</v>
      </c>
      <c r="F49" s="3" t="n">
        <v>0.349618130495276</v>
      </c>
      <c r="G49" s="3" t="n">
        <v>0.684751045733495</v>
      </c>
      <c r="H49" s="3" t="n">
        <v>0.239814169866703</v>
      </c>
      <c r="I49" s="3" t="n">
        <v>1.02256335815697</v>
      </c>
      <c r="J49" s="3" t="n">
        <v>1.22514301366893</v>
      </c>
      <c r="K49" s="3" t="n">
        <v>0.15447906982659</v>
      </c>
      <c r="L49" s="168" t="n">
        <v>3.62912486519383E-015</v>
      </c>
      <c r="M49" s="3" t="n">
        <v>0.263423295052048</v>
      </c>
      <c r="N49" s="3" t="n">
        <v>0</v>
      </c>
      <c r="O49" s="3" t="n">
        <v>0.163566491696183</v>
      </c>
      <c r="P49" s="3" t="n">
        <v>0</v>
      </c>
      <c r="Q49" s="3" t="n">
        <v>0.308537190823115</v>
      </c>
      <c r="R49" s="168" t="n">
        <v>1.45164994607753E-014</v>
      </c>
      <c r="S49" s="3" t="n">
        <v>0.179909046747098</v>
      </c>
      <c r="T49" s="3" t="n">
        <v>0</v>
      </c>
      <c r="U49" s="3" t="n">
        <v>0.290520888016542</v>
      </c>
      <c r="V49" s="3" t="n">
        <v>0</v>
      </c>
      <c r="W49" s="3" t="n">
        <v>0.00128661294056938</v>
      </c>
      <c r="X49" s="3" t="n">
        <v>0.0128080019824953</v>
      </c>
      <c r="Y49" s="3" t="n">
        <v>0.00269400171244689</v>
      </c>
      <c r="Z49" s="3" t="n">
        <v>0.018740461432226</v>
      </c>
      <c r="AA49" s="3" t="n">
        <v>0.00283208835262983</v>
      </c>
      <c r="AB49" s="3" t="n">
        <v>0.0247945004848011</v>
      </c>
      <c r="AC49" s="3" t="n">
        <v>0.150569416337552</v>
      </c>
      <c r="AD49" s="3" t="n">
        <v>0.197746004395395</v>
      </c>
      <c r="AE49" s="3" t="n">
        <v>0.31920779061358</v>
      </c>
      <c r="AF49" s="3" t="n">
        <v>0.0654307575537549</v>
      </c>
      <c r="AG49" s="168" t="n">
        <v>6.64925955549697E-017</v>
      </c>
      <c r="AH49" s="3" t="n">
        <v>0.0722951802470696</v>
      </c>
      <c r="AI49" s="3" t="n">
        <v>0</v>
      </c>
      <c r="AJ49" s="3" t="n">
        <v>0.0887714323376353</v>
      </c>
      <c r="AK49" s="168" t="n">
        <v>1.32516903511304E-014</v>
      </c>
      <c r="AL49" s="3" t="n">
        <v>0.00371574796354964</v>
      </c>
      <c r="AM49" s="3" t="n">
        <v>0.0572514621252237</v>
      </c>
      <c r="AN49" s="3" t="n">
        <v>0.00272214663693393</v>
      </c>
      <c r="AO49" s="3" t="n">
        <v>0.0624790221831227</v>
      </c>
      <c r="AP49" s="3" t="n">
        <v>0.0116962020371411</v>
      </c>
      <c r="AQ49" s="3" t="n">
        <v>0.0254709954239772</v>
      </c>
      <c r="AR49" s="3" t="n">
        <v>0.255355459260057</v>
      </c>
      <c r="AS49" s="3" t="n">
        <v>0.145264419973179</v>
      </c>
      <c r="AT49" s="3" t="n">
        <v>0.255803916458205</v>
      </c>
      <c r="AU49" s="168" t="n">
        <v>7.62419142772953E-005</v>
      </c>
      <c r="AV49" s="168" t="n">
        <v>0.000517058176583524</v>
      </c>
      <c r="AW49" s="168" t="n">
        <v>0.000279913943296067</v>
      </c>
      <c r="AX49" s="3" t="n">
        <v>0.00183668692655835</v>
      </c>
      <c r="AY49" s="168" t="n">
        <v>5.57883969516711E-021</v>
      </c>
      <c r="AZ49" s="3" t="n">
        <v>0.00650184977068728</v>
      </c>
      <c r="BA49" s="3" t="n">
        <v>0.0024703391974458</v>
      </c>
      <c r="BB49" s="3" t="n">
        <v>0.00257503627529002</v>
      </c>
      <c r="BC49" s="3" t="n">
        <v>0.00289290656060768</v>
      </c>
      <c r="BD49" s="3" t="n">
        <v>0.00964631597976515</v>
      </c>
      <c r="BE49" s="3" t="n">
        <v>0.00902896010518301</v>
      </c>
      <c r="BF49" s="3" t="n">
        <v>0.0109221931379355</v>
      </c>
      <c r="BG49" s="3" t="n">
        <v>0.230630136107169</v>
      </c>
      <c r="BH49" s="3" t="n">
        <v>0.214838632899439</v>
      </c>
      <c r="BI49" s="3" t="n">
        <v>0.260843212308437</v>
      </c>
      <c r="BJ49" s="3" t="n">
        <v>0.00108347308266931</v>
      </c>
      <c r="BK49" s="168" t="n">
        <v>0.000766490657363768</v>
      </c>
      <c r="BL49" s="3" t="n">
        <v>0.00283809033742823</v>
      </c>
      <c r="BM49" s="168" t="n">
        <v>0.000694170315569798</v>
      </c>
      <c r="BN49" s="3" t="n">
        <v>0.00148189381393122</v>
      </c>
      <c r="BO49" s="3" t="n">
        <v>0.00137056277998759</v>
      </c>
      <c r="BP49" s="3" t="n">
        <v>0.0138720050417597</v>
      </c>
      <c r="BQ49" s="3" t="n">
        <v>0.0267406449649194</v>
      </c>
      <c r="BR49" s="3" t="n">
        <v>0.0292351586290842</v>
      </c>
      <c r="BS49" s="169"/>
      <c r="BT49" s="169"/>
      <c r="BU49" s="169"/>
      <c r="BV49" s="169"/>
      <c r="BW49" s="169"/>
      <c r="BX49" s="169"/>
      <c r="BY49" s="169"/>
    </row>
    <row r="50" customFormat="false" ht="12.75" hidden="true" customHeight="false" outlineLevel="0" collapsed="false">
      <c r="A50" s="3" t="n">
        <v>2</v>
      </c>
      <c r="B50" s="3" t="n">
        <v>2.2</v>
      </c>
      <c r="C50" s="3" t="s">
        <v>236</v>
      </c>
      <c r="D50" s="3" t="s">
        <v>245</v>
      </c>
      <c r="E50" s="3" t="n">
        <v>0.329486002252718</v>
      </c>
      <c r="F50" s="3" t="n">
        <v>0.424539265420814</v>
      </c>
      <c r="G50" s="3" t="n">
        <v>0.355010240039399</v>
      </c>
      <c r="H50" s="3" t="n">
        <v>0.223597927149031</v>
      </c>
      <c r="I50" s="3" t="n">
        <v>0.712633415972512</v>
      </c>
      <c r="J50" s="3" t="n">
        <v>0.549045376450081</v>
      </c>
      <c r="K50" s="3" t="n">
        <v>0.0819800431529653</v>
      </c>
      <c r="L50" s="168" t="n">
        <v>3.62912486519383E-015</v>
      </c>
      <c r="M50" s="3" t="n">
        <v>0.152123301962602</v>
      </c>
      <c r="N50" s="3" t="n">
        <v>0</v>
      </c>
      <c r="O50" s="3" t="n">
        <v>0.0904292693895038</v>
      </c>
      <c r="P50" s="3" t="n">
        <v>0</v>
      </c>
      <c r="Q50" s="3" t="n">
        <v>0.149992382470834</v>
      </c>
      <c r="R50" s="168" t="n">
        <v>1.45164994607753E-014</v>
      </c>
      <c r="S50" s="3" t="n">
        <v>0.0828605993281146</v>
      </c>
      <c r="T50" s="3" t="n">
        <v>0</v>
      </c>
      <c r="U50" s="3" t="n">
        <v>0.140231670922488</v>
      </c>
      <c r="V50" s="3" t="n">
        <v>0</v>
      </c>
      <c r="W50" s="168" t="n">
        <v>0.000949925245228113</v>
      </c>
      <c r="X50" s="3" t="n">
        <v>0.0132316081206497</v>
      </c>
      <c r="Y50" s="3" t="n">
        <v>0.00177456361878094</v>
      </c>
      <c r="Z50" s="3" t="n">
        <v>0.0235467564519252</v>
      </c>
      <c r="AA50" s="3" t="n">
        <v>0.00179731425814634</v>
      </c>
      <c r="AB50" s="3" t="n">
        <v>0.0193985493616238</v>
      </c>
      <c r="AC50" s="3" t="n">
        <v>0.201326828892435</v>
      </c>
      <c r="AD50" s="3" t="n">
        <v>0.160544222809568</v>
      </c>
      <c r="AE50" s="3" t="n">
        <v>0.122719986348089</v>
      </c>
      <c r="AF50" s="3" t="n">
        <v>0.0380678646477683</v>
      </c>
      <c r="AG50" s="168" t="n">
        <v>7.67790358855574E-017</v>
      </c>
      <c r="AH50" s="3" t="n">
        <v>0.0352178108348609</v>
      </c>
      <c r="AI50" s="3" t="n">
        <v>0</v>
      </c>
      <c r="AJ50" s="3" t="n">
        <v>0.0373833493121931</v>
      </c>
      <c r="AK50" s="168" t="n">
        <v>7.25824973038767E-015</v>
      </c>
      <c r="AL50" s="3" t="n">
        <v>0.00294370527392101</v>
      </c>
      <c r="AM50" s="3" t="n">
        <v>0.0213532430134263</v>
      </c>
      <c r="AN50" s="3" t="n">
        <v>0.00207912891373466</v>
      </c>
      <c r="AO50" s="3" t="n">
        <v>0.0369941405307078</v>
      </c>
      <c r="AP50" s="3" t="n">
        <v>0.00720988382201529</v>
      </c>
      <c r="AQ50" s="3" t="n">
        <v>0.0228067166693382</v>
      </c>
      <c r="AR50" s="3" t="n">
        <v>0.260406546184342</v>
      </c>
      <c r="AS50" s="3" t="n">
        <v>0.0947479373183744</v>
      </c>
      <c r="AT50" s="3" t="n">
        <v>0.291786843620717</v>
      </c>
      <c r="AU50" s="168" t="n">
        <v>0.000116118349172806</v>
      </c>
      <c r="AV50" s="3" t="n">
        <v>0.00117842417549627</v>
      </c>
      <c r="AW50" s="168" t="n">
        <v>0.000110795683483593</v>
      </c>
      <c r="AX50" s="3" t="n">
        <v>0.00279736378582342</v>
      </c>
      <c r="AY50" s="168" t="n">
        <v>1.27147297899172E-020</v>
      </c>
      <c r="AZ50" s="3" t="n">
        <v>0.00257361150999412</v>
      </c>
      <c r="BA50" s="3" t="n">
        <v>0.00221695526126109</v>
      </c>
      <c r="BB50" s="3" t="n">
        <v>0.00232319673225041</v>
      </c>
      <c r="BC50" s="3" t="n">
        <v>0.00285087424870959</v>
      </c>
      <c r="BD50" s="3" t="n">
        <v>0.00686642342165143</v>
      </c>
      <c r="BE50" s="3" t="n">
        <v>0.00602855554418205</v>
      </c>
      <c r="BF50" s="3" t="n">
        <v>0.00560518063737294</v>
      </c>
      <c r="BG50" s="3" t="n">
        <v>0.163536928848715</v>
      </c>
      <c r="BH50" s="3" t="n">
        <v>0.142645491432096</v>
      </c>
      <c r="BI50" s="3" t="n">
        <v>0.132223476037187</v>
      </c>
      <c r="BJ50" s="3" t="n">
        <v>0.0027833567922645</v>
      </c>
      <c r="BK50" s="168" t="n">
        <v>0.000648876521158059</v>
      </c>
      <c r="BL50" s="3" t="n">
        <v>0.0056970018293317</v>
      </c>
      <c r="BM50" s="168" t="n">
        <v>0.000436613135646454</v>
      </c>
      <c r="BN50" s="3" t="n">
        <v>0.00202227299843608</v>
      </c>
      <c r="BO50" s="3" t="n">
        <v>0.00178710182587163</v>
      </c>
      <c r="BP50" s="3" t="n">
        <v>0.0165909618065432</v>
      </c>
      <c r="BQ50" s="3" t="n">
        <v>0.0373496689489051</v>
      </c>
      <c r="BR50" s="3" t="n">
        <v>0.0520998746125617</v>
      </c>
      <c r="BS50" s="169"/>
      <c r="BT50" s="169"/>
      <c r="BU50" s="169"/>
      <c r="BV50" s="169"/>
      <c r="BW50" s="169"/>
      <c r="BX50" s="169"/>
      <c r="BY50" s="169"/>
    </row>
    <row r="51" customFormat="false" ht="12.75" hidden="true" customHeight="false" outlineLevel="0" collapsed="false">
      <c r="A51" s="3" t="n">
        <v>2</v>
      </c>
      <c r="B51" s="3" t="n">
        <v>2.2</v>
      </c>
      <c r="C51" s="3" t="s">
        <v>237</v>
      </c>
      <c r="D51" s="3" t="s">
        <v>245</v>
      </c>
      <c r="E51" s="3" t="n">
        <v>0.477912941516373</v>
      </c>
      <c r="F51" s="3" t="n">
        <v>0.344971035957037</v>
      </c>
      <c r="G51" s="3" t="n">
        <v>0.100999493365088</v>
      </c>
      <c r="H51" s="3" t="n">
        <v>0.161651521380101</v>
      </c>
      <c r="I51" s="3" t="n">
        <v>0.330990009220721</v>
      </c>
      <c r="J51" s="3" t="n">
        <v>0.446499534021144</v>
      </c>
      <c r="K51" s="3" t="n">
        <v>0.121153715752257</v>
      </c>
      <c r="L51" s="168" t="n">
        <v>3.84926820292691E-015</v>
      </c>
      <c r="M51" s="3" t="n">
        <v>0.223228865413099</v>
      </c>
      <c r="N51" s="3" t="n">
        <v>0</v>
      </c>
      <c r="O51" s="3" t="n">
        <v>0.143142594758017</v>
      </c>
      <c r="P51" s="168" t="n">
        <v>5.92633608838112E-015</v>
      </c>
      <c r="Q51" s="3" t="n">
        <v>0.262520969591688</v>
      </c>
      <c r="R51" s="168" t="n">
        <v>1.02647152078051E-014</v>
      </c>
      <c r="S51" s="3" t="n">
        <v>0.143332015204578</v>
      </c>
      <c r="T51" s="3" t="n">
        <v>0</v>
      </c>
      <c r="U51" s="3" t="n">
        <v>0.219974267401533</v>
      </c>
      <c r="V51" s="3" t="n">
        <v>0</v>
      </c>
      <c r="W51" s="3" t="n">
        <v>0.00138805983237786</v>
      </c>
      <c r="X51" s="3" t="n">
        <v>0.0271848358492223</v>
      </c>
      <c r="Y51" s="3" t="n">
        <v>0.0019150216863341</v>
      </c>
      <c r="Z51" s="3" t="n">
        <v>0.0323787827020152</v>
      </c>
      <c r="AA51" s="3" t="n">
        <v>0.00108581658308457</v>
      </c>
      <c r="AB51" s="3" t="n">
        <v>0.0297108894995226</v>
      </c>
      <c r="AC51" s="3" t="n">
        <v>0.273030641566216</v>
      </c>
      <c r="AD51" s="3" t="n">
        <v>0.23331670437069</v>
      </c>
      <c r="AE51" s="3" t="n">
        <v>0.122890240597269</v>
      </c>
      <c r="AF51" s="3" t="n">
        <v>0.0593996671781041</v>
      </c>
      <c r="AG51" s="168" t="n">
        <v>7.13523225967129E-017</v>
      </c>
      <c r="AH51" s="3" t="n">
        <v>0.0551391198026282</v>
      </c>
      <c r="AI51" s="3" t="n">
        <v>0</v>
      </c>
      <c r="AJ51" s="3" t="n">
        <v>0.071199798358087</v>
      </c>
      <c r="AK51" s="168" t="n">
        <v>1.18526721767622E-014</v>
      </c>
      <c r="AL51" s="3" t="n">
        <v>0.00616652239580543</v>
      </c>
      <c r="AM51" s="3" t="n">
        <v>0.0131964191328394</v>
      </c>
      <c r="AN51" s="3" t="n">
        <v>0.00170093218431899</v>
      </c>
      <c r="AO51" s="3" t="n">
        <v>0.0247032271032704</v>
      </c>
      <c r="AP51" s="3" t="n">
        <v>0.00463983827934549</v>
      </c>
      <c r="AQ51" s="3" t="n">
        <v>0.0250525594514744</v>
      </c>
      <c r="AR51" s="3" t="n">
        <v>0.473082344052644</v>
      </c>
      <c r="AS51" s="3" t="n">
        <v>0.0859519814333471</v>
      </c>
      <c r="AT51" s="3" t="n">
        <v>0.133045645387292</v>
      </c>
      <c r="AU51" s="168" t="n">
        <v>9.39616846818732E-005</v>
      </c>
      <c r="AV51" s="168" t="n">
        <v>0.000115415629514073</v>
      </c>
      <c r="AW51" s="168" t="n">
        <v>0.000103892668975008</v>
      </c>
      <c r="AX51" s="3" t="n">
        <v>0.00226360634290384</v>
      </c>
      <c r="AY51" s="168" t="n">
        <v>1.2453265321638E-021</v>
      </c>
      <c r="AZ51" s="3" t="n">
        <v>0.00241325072685224</v>
      </c>
      <c r="BA51" s="3" t="n">
        <v>0.00170032196533401</v>
      </c>
      <c r="BB51" s="3" t="n">
        <v>0.00185191953793864</v>
      </c>
      <c r="BC51" s="3" t="n">
        <v>0.00266403827250865</v>
      </c>
      <c r="BD51" s="3" t="n">
        <v>0.00311685761126494</v>
      </c>
      <c r="BE51" s="3" t="n">
        <v>0.00309590954108138</v>
      </c>
      <c r="BF51" s="3" t="n">
        <v>0.00280730769783477</v>
      </c>
      <c r="BG51" s="3" t="n">
        <v>0.0733913062592461</v>
      </c>
      <c r="BH51" s="3" t="n">
        <v>0.0724145802770327</v>
      </c>
      <c r="BI51" s="3" t="n">
        <v>0.064810859828143</v>
      </c>
      <c r="BJ51" s="3" t="n">
        <v>0.00145294926170894</v>
      </c>
      <c r="BK51" s="3" t="n">
        <v>0.00111675209658064</v>
      </c>
      <c r="BL51" s="168" t="n">
        <v>0.000420640451650573</v>
      </c>
      <c r="BM51" s="168" t="n">
        <v>0.000975051265664674</v>
      </c>
      <c r="BN51" s="3" t="n">
        <v>0.00651965684614085</v>
      </c>
      <c r="BO51" s="3" t="n">
        <v>0.00114002696159828</v>
      </c>
      <c r="BP51" s="3" t="n">
        <v>0.0227183175919457</v>
      </c>
      <c r="BQ51" s="3" t="n">
        <v>0.114378700351404</v>
      </c>
      <c r="BR51" s="3" t="n">
        <v>0.0194773609947388</v>
      </c>
      <c r="BS51" s="169"/>
      <c r="BT51" s="169"/>
      <c r="BU51" s="169"/>
      <c r="BV51" s="169"/>
      <c r="BW51" s="169"/>
      <c r="BX51" s="169"/>
      <c r="BY51" s="169"/>
    </row>
    <row r="52" customFormat="false" ht="12.75" hidden="true" customHeight="false" outlineLevel="0" collapsed="false">
      <c r="A52" s="3" t="n">
        <v>2</v>
      </c>
      <c r="B52" s="3" t="n">
        <v>2.3</v>
      </c>
      <c r="C52" s="3" t="s">
        <v>238</v>
      </c>
      <c r="D52" s="3" t="s">
        <v>245</v>
      </c>
      <c r="E52" s="3" t="n">
        <v>0.576987335020381</v>
      </c>
      <c r="F52" s="3" t="n">
        <v>0.48962295900275</v>
      </c>
      <c r="G52" s="3" t="n">
        <v>0.446300827184085</v>
      </c>
      <c r="H52" s="3" t="n">
        <v>0.136941126702714</v>
      </c>
      <c r="I52" s="3" t="n">
        <v>0.655287004487894</v>
      </c>
      <c r="J52" s="3" t="n">
        <v>0.669779509369372</v>
      </c>
      <c r="K52" s="3" t="n">
        <v>0.0935143805379252</v>
      </c>
      <c r="L52" s="168" t="n">
        <v>3.84926820292691E-015</v>
      </c>
      <c r="M52" s="3" t="n">
        <v>0.178976500854085</v>
      </c>
      <c r="N52" s="3" t="n">
        <v>0</v>
      </c>
      <c r="O52" s="3" t="n">
        <v>0.102343858077728</v>
      </c>
      <c r="P52" s="3" t="n">
        <v>0</v>
      </c>
      <c r="Q52" s="3" t="n">
        <v>0.156730577519855</v>
      </c>
      <c r="R52" s="168" t="n">
        <v>1.45164994607753E-014</v>
      </c>
      <c r="S52" s="3" t="n">
        <v>0.0773444781902367</v>
      </c>
      <c r="T52" s="3" t="n">
        <v>0</v>
      </c>
      <c r="U52" s="3" t="n">
        <v>0.137913583904409</v>
      </c>
      <c r="V52" s="3" t="n">
        <v>0</v>
      </c>
      <c r="W52" s="3" t="n">
        <v>0.00172443095690872</v>
      </c>
      <c r="X52" s="3" t="n">
        <v>0.0196956558273911</v>
      </c>
      <c r="Y52" s="168" t="n">
        <v>0.000960019011549347</v>
      </c>
      <c r="Z52" s="3" t="n">
        <v>0.016823400940604</v>
      </c>
      <c r="AA52" s="168" t="n">
        <v>0.000987849949880217</v>
      </c>
      <c r="AB52" s="3" t="n">
        <v>0.0276190291415795</v>
      </c>
      <c r="AC52" s="3" t="n">
        <v>0.277164304746054</v>
      </c>
      <c r="AD52" s="3" t="n">
        <v>0.125858554654465</v>
      </c>
      <c r="AE52" s="3" t="n">
        <v>0.283589235848512</v>
      </c>
      <c r="AF52" s="3" t="n">
        <v>0.0457001168932661</v>
      </c>
      <c r="AG52" s="168" t="n">
        <v>1.63693454518939E-017</v>
      </c>
      <c r="AH52" s="3" t="n">
        <v>0.035446725733383</v>
      </c>
      <c r="AI52" s="3" t="n">
        <v>0</v>
      </c>
      <c r="AJ52" s="3" t="n">
        <v>0.0437810588304897</v>
      </c>
      <c r="AK52" s="168" t="n">
        <v>1.45164994607753E-014</v>
      </c>
      <c r="AL52" s="3" t="n">
        <v>0.00126456845818435</v>
      </c>
      <c r="AM52" s="3" t="n">
        <v>0.0513459985036131</v>
      </c>
      <c r="AN52" s="3" t="n">
        <v>0.00786543350587642</v>
      </c>
      <c r="AO52" s="3" t="n">
        <v>0.0186146009609917</v>
      </c>
      <c r="AP52" s="3" t="n">
        <v>0.0037981901978519</v>
      </c>
      <c r="AQ52" s="3" t="n">
        <v>0.0139279452642312</v>
      </c>
      <c r="AR52" s="3" t="n">
        <v>0.220188084712303</v>
      </c>
      <c r="AS52" s="3" t="n">
        <v>0.539817661496038</v>
      </c>
      <c r="AT52" s="3" t="n">
        <v>0.164378805782798</v>
      </c>
      <c r="AU52" s="168" t="n">
        <v>0.00016700268851332</v>
      </c>
      <c r="AV52" s="3" t="n">
        <v>0.0028030204534238</v>
      </c>
      <c r="AW52" s="168" t="n">
        <v>0.000692889203296562</v>
      </c>
      <c r="AX52" s="3" t="n">
        <v>0.00160318197398886</v>
      </c>
      <c r="AY52" s="3" t="n">
        <v>0.0474792566408134</v>
      </c>
      <c r="AZ52" s="3" t="n">
        <v>0.0160951390112458</v>
      </c>
      <c r="BA52" s="3" t="n">
        <v>0.00167520099298099</v>
      </c>
      <c r="BB52" s="3" t="n">
        <v>0.00167876513154224</v>
      </c>
      <c r="BC52" s="3" t="n">
        <v>0.00207600530644575</v>
      </c>
      <c r="BD52" s="3" t="n">
        <v>0.00523759601421361</v>
      </c>
      <c r="BE52" s="3" t="n">
        <v>0.00584173754847438</v>
      </c>
      <c r="BF52" s="3" t="n">
        <v>0.00530703807942415</v>
      </c>
      <c r="BG52" s="3" t="n">
        <v>0.124680347264708</v>
      </c>
      <c r="BH52" s="3" t="n">
        <v>0.138779536986457</v>
      </c>
      <c r="BI52" s="3" t="n">
        <v>0.125721207455184</v>
      </c>
      <c r="BJ52" s="168" t="n">
        <v>0.000941701481015723</v>
      </c>
      <c r="BK52" s="3" t="n">
        <v>0.00179680577733098</v>
      </c>
      <c r="BL52" s="3" t="n">
        <v>0.00339574085224148</v>
      </c>
      <c r="BM52" s="168" t="n">
        <v>0.000634321121386784</v>
      </c>
      <c r="BN52" s="3" t="n">
        <v>0.00564479330612959</v>
      </c>
      <c r="BO52" s="168" t="n">
        <v>0.00077813082525874</v>
      </c>
      <c r="BP52" s="3" t="n">
        <v>0.0135346911513956</v>
      </c>
      <c r="BQ52" s="3" t="n">
        <v>0.0995170986920845</v>
      </c>
      <c r="BR52" s="3" t="n">
        <v>0.0264341864145068</v>
      </c>
      <c r="BS52" s="169"/>
      <c r="BT52" s="169"/>
      <c r="BU52" s="169"/>
      <c r="BV52" s="169"/>
      <c r="BW52" s="169"/>
      <c r="BX52" s="169"/>
      <c r="BY52" s="169"/>
    </row>
    <row r="53" customFormat="false" ht="12.75" hidden="true" customHeight="false" outlineLevel="0" collapsed="false">
      <c r="A53" s="3" t="n">
        <v>2</v>
      </c>
      <c r="B53" s="3" t="n">
        <v>2.3</v>
      </c>
      <c r="C53" s="3" t="s">
        <v>239</v>
      </c>
      <c r="D53" s="3" t="s">
        <v>245</v>
      </c>
      <c r="E53" s="3" t="n">
        <v>0.719200834695089</v>
      </c>
      <c r="F53" s="3" t="n">
        <v>0.632237811022304</v>
      </c>
      <c r="G53" s="3" t="n">
        <v>0.313680662136825</v>
      </c>
      <c r="H53" s="3" t="n">
        <v>0.171880028885582</v>
      </c>
      <c r="I53" s="3" t="n">
        <v>0.48048624512528</v>
      </c>
      <c r="J53" s="3" t="n">
        <v>0.50567042572985</v>
      </c>
      <c r="K53" s="3" t="n">
        <v>0.112752546907189</v>
      </c>
      <c r="L53" s="168" t="n">
        <v>4.19055243568485E-015</v>
      </c>
      <c r="M53" s="3" t="n">
        <v>0.184088082648453</v>
      </c>
      <c r="N53" s="3" t="n">
        <v>0</v>
      </c>
      <c r="O53" s="3" t="n">
        <v>0.118361917005028</v>
      </c>
      <c r="P53" s="3" t="n">
        <v>0</v>
      </c>
      <c r="Q53" s="3" t="n">
        <v>0.220237824891729</v>
      </c>
      <c r="R53" s="168" t="n">
        <v>1.45164994607753E-014</v>
      </c>
      <c r="S53" s="3" t="n">
        <v>0.132016591480345</v>
      </c>
      <c r="T53" s="3" t="n">
        <v>0</v>
      </c>
      <c r="U53" s="3" t="n">
        <v>0.223724787195777</v>
      </c>
      <c r="V53" s="3" t="n">
        <v>0</v>
      </c>
      <c r="W53" s="3" t="n">
        <v>0.00233375427812192</v>
      </c>
      <c r="X53" s="3" t="n">
        <v>0.0351402275672196</v>
      </c>
      <c r="Y53" s="3" t="n">
        <v>0.00174051743497423</v>
      </c>
      <c r="Z53" s="3" t="n">
        <v>0.0460070492576769</v>
      </c>
      <c r="AA53" s="3" t="n">
        <v>0.00112501130039421</v>
      </c>
      <c r="AB53" s="3" t="n">
        <v>0.0534884674591345</v>
      </c>
      <c r="AC53" s="3" t="n">
        <v>0.368133201787036</v>
      </c>
      <c r="AD53" s="3" t="n">
        <v>0.139286545244804</v>
      </c>
      <c r="AE53" s="3" t="n">
        <v>0.379431035255705</v>
      </c>
      <c r="AF53" s="3" t="n">
        <v>0.0471320851360894</v>
      </c>
      <c r="AG53" s="168" t="n">
        <v>4.77244329400491E-017</v>
      </c>
      <c r="AH53" s="3" t="n">
        <v>0.0609667284886481</v>
      </c>
      <c r="AI53" s="3" t="n">
        <v>0</v>
      </c>
      <c r="AJ53" s="3" t="n">
        <v>0.0585481592675911</v>
      </c>
      <c r="AK53" s="168" t="n">
        <v>7.83980573782188E-015</v>
      </c>
      <c r="AL53" s="3" t="n">
        <v>0.00196361293137804</v>
      </c>
      <c r="AM53" s="3" t="n">
        <v>0.0603374071704935</v>
      </c>
      <c r="AN53" s="3" t="n">
        <v>0.0101355870208011</v>
      </c>
      <c r="AO53" s="3" t="n">
        <v>0.0235752263972096</v>
      </c>
      <c r="AP53" s="3" t="n">
        <v>0.00723701662295103</v>
      </c>
      <c r="AQ53" s="3" t="n">
        <v>0.0312472518774235</v>
      </c>
      <c r="AR53" s="3" t="n">
        <v>0.291599166650568</v>
      </c>
      <c r="AS53" s="3" t="n">
        <v>0.818371109317289</v>
      </c>
      <c r="AT53" s="3" t="n">
        <v>0.258743747564311</v>
      </c>
      <c r="AU53" s="168" t="n">
        <v>0.000145402932413926</v>
      </c>
      <c r="AV53" s="3" t="n">
        <v>0.00126007220816052</v>
      </c>
      <c r="AW53" s="168" t="n">
        <v>0.000523793725301538</v>
      </c>
      <c r="AX53" s="3" t="n">
        <v>0.0013958159125485</v>
      </c>
      <c r="AY53" s="3" t="n">
        <v>0.0213463664379273</v>
      </c>
      <c r="AZ53" s="3" t="n">
        <v>0.012168078965356</v>
      </c>
      <c r="BA53" s="3" t="n">
        <v>0.00155439662199766</v>
      </c>
      <c r="BB53" s="3" t="n">
        <v>0.00171392363076665</v>
      </c>
      <c r="BC53" s="3" t="n">
        <v>0.00204985037995849</v>
      </c>
      <c r="BD53" s="3" t="n">
        <v>0.00462724401998189</v>
      </c>
      <c r="BE53" s="3" t="n">
        <v>0.00441005961316672</v>
      </c>
      <c r="BF53" s="3" t="n">
        <v>0.00430052170901709</v>
      </c>
      <c r="BG53" s="3" t="n">
        <v>0.110021116054121</v>
      </c>
      <c r="BH53" s="3" t="n">
        <v>0.104221510468492</v>
      </c>
      <c r="BI53" s="3" t="n">
        <v>0.101427793281114</v>
      </c>
      <c r="BJ53" s="3" t="n">
        <v>0.00228935352535522</v>
      </c>
      <c r="BK53" s="168" t="n">
        <v>0.000836684726174478</v>
      </c>
      <c r="BL53" s="3" t="n">
        <v>0.00174881275105703</v>
      </c>
      <c r="BM53" s="168" t="n">
        <v>0.000562718469836219</v>
      </c>
      <c r="BN53" s="3" t="n">
        <v>0.0019598152502658</v>
      </c>
      <c r="BO53" s="3" t="n">
        <v>0.00173474043591176</v>
      </c>
      <c r="BP53" s="3" t="n">
        <v>0.0139482007893431</v>
      </c>
      <c r="BQ53" s="3" t="n">
        <v>0.0328507576486622</v>
      </c>
      <c r="BR53" s="3" t="n">
        <v>0.037135022879677</v>
      </c>
      <c r="BS53" s="169"/>
      <c r="BT53" s="169"/>
      <c r="BU53" s="169"/>
      <c r="BV53" s="169"/>
      <c r="BW53" s="169"/>
      <c r="BX53" s="169"/>
      <c r="BY53" s="169"/>
    </row>
    <row r="54" customFormat="false" ht="12.75" hidden="true" customHeight="false" outlineLevel="0" collapsed="false">
      <c r="A54" s="3" t="n">
        <v>2</v>
      </c>
      <c r="B54" s="3" t="n">
        <v>2.3</v>
      </c>
      <c r="C54" s="3" t="s">
        <v>240</v>
      </c>
      <c r="D54" s="3" t="s">
        <v>245</v>
      </c>
      <c r="E54" s="3" t="n">
        <v>0.82250160363479</v>
      </c>
      <c r="F54" s="3" t="n">
        <v>0.858340102992852</v>
      </c>
      <c r="G54" s="3" t="n">
        <v>0.256331192744194</v>
      </c>
      <c r="H54" s="3" t="n">
        <v>0.0950715326988887</v>
      </c>
      <c r="I54" s="3" t="n">
        <v>0.727525245877821</v>
      </c>
      <c r="J54" s="3" t="n">
        <v>0.694073995982959</v>
      </c>
      <c r="K54" s="3" t="n">
        <v>0.0854320264719342</v>
      </c>
      <c r="L54" s="168" t="n">
        <v>4.05748494870409E-015</v>
      </c>
      <c r="M54" s="3" t="n">
        <v>0.156888256624472</v>
      </c>
      <c r="N54" s="3" t="n">
        <v>0</v>
      </c>
      <c r="O54" s="3" t="n">
        <v>0.0919959714579485</v>
      </c>
      <c r="P54" s="3" t="n">
        <v>0</v>
      </c>
      <c r="Q54" s="3" t="n">
        <v>0.159574124487002</v>
      </c>
      <c r="R54" s="168" t="n">
        <v>8.3811048713697E-015</v>
      </c>
      <c r="S54" s="3" t="n">
        <v>0.092129473780822</v>
      </c>
      <c r="T54" s="3" t="n">
        <v>0</v>
      </c>
      <c r="U54" s="3" t="n">
        <v>0.150617633001632</v>
      </c>
      <c r="V54" s="3" t="n">
        <v>0</v>
      </c>
      <c r="W54" s="3" t="n">
        <v>0.00231778289913791</v>
      </c>
      <c r="X54" s="3" t="n">
        <v>0.0301881514330669</v>
      </c>
      <c r="Y54" s="3" t="n">
        <v>0.00139031860968965</v>
      </c>
      <c r="Z54" s="3" t="n">
        <v>0.025016391864642</v>
      </c>
      <c r="AA54" s="3" t="n">
        <v>0.00173831964331037</v>
      </c>
      <c r="AB54" s="3" t="n">
        <v>0.0325886029200601</v>
      </c>
      <c r="AC54" s="3" t="n">
        <v>0.599569330624372</v>
      </c>
      <c r="AD54" s="3" t="n">
        <v>0.239528472005817</v>
      </c>
      <c r="AE54" s="3" t="n">
        <v>0.26459401635858</v>
      </c>
      <c r="AF54" s="3" t="n">
        <v>0.0398261716350134</v>
      </c>
      <c r="AG54" s="168" t="n">
        <v>4.91080363556818E-017</v>
      </c>
      <c r="AH54" s="3" t="n">
        <v>0.0373393852755195</v>
      </c>
      <c r="AI54" s="3" t="n">
        <v>0</v>
      </c>
      <c r="AJ54" s="3" t="n">
        <v>0.0389518228536606</v>
      </c>
      <c r="AK54" s="168" t="n">
        <v>1.45164994607753E-014</v>
      </c>
      <c r="AL54" s="3" t="n">
        <v>0.00435048726265641</v>
      </c>
      <c r="AM54" s="3" t="n">
        <v>0.0607539461862556</v>
      </c>
      <c r="AN54" s="3" t="n">
        <v>0.00739889163069875</v>
      </c>
      <c r="AO54" s="3" t="n">
        <v>0.0141924400279647</v>
      </c>
      <c r="AP54" s="3" t="n">
        <v>0.00599672393382209</v>
      </c>
      <c r="AQ54" s="3" t="n">
        <v>0.0159695464509552</v>
      </c>
      <c r="AR54" s="3" t="n">
        <v>0.637123636216207</v>
      </c>
      <c r="AS54" s="3" t="n">
        <v>0.635017201546655</v>
      </c>
      <c r="AT54" s="3" t="n">
        <v>0.258783874416438</v>
      </c>
      <c r="AU54" s="168" t="n">
        <v>0.000118390657374319</v>
      </c>
      <c r="AV54" s="168" t="n">
        <v>0.000723272872865529</v>
      </c>
      <c r="AW54" s="168" t="n">
        <v>0.000516527031153375</v>
      </c>
      <c r="AX54" s="3" t="n">
        <v>0.00113651478586847</v>
      </c>
      <c r="AY54" s="3" t="n">
        <v>0.0122529740700667</v>
      </c>
      <c r="AZ54" s="3" t="n">
        <v>0.0119997032201616</v>
      </c>
      <c r="BA54" s="3" t="n">
        <v>0.00148386444415396</v>
      </c>
      <c r="BB54" s="3" t="n">
        <v>0.00164005409169832</v>
      </c>
      <c r="BC54" s="3" t="n">
        <v>0.00196846424562518</v>
      </c>
      <c r="BD54" s="3" t="n">
        <v>0.00499440960608519</v>
      </c>
      <c r="BE54" s="3" t="n">
        <v>0.00425371375874523</v>
      </c>
      <c r="BF54" s="3" t="n">
        <v>0.0041927857845202</v>
      </c>
      <c r="BG54" s="3" t="n">
        <v>0.118949171467239</v>
      </c>
      <c r="BH54" s="3" t="n">
        <v>0.100525664386035</v>
      </c>
      <c r="BI54" s="3" t="n">
        <v>0.0988710314839364</v>
      </c>
      <c r="BJ54" s="3" t="n">
        <v>0.00205761624821627</v>
      </c>
      <c r="BK54" s="168" t="n">
        <v>0.000611442783890017</v>
      </c>
      <c r="BL54" s="3" t="n">
        <v>0.00393009618467446</v>
      </c>
      <c r="BM54" s="168" t="n">
        <v>0.000452368520533974</v>
      </c>
      <c r="BN54" s="3" t="n">
        <v>0.00219076626456031</v>
      </c>
      <c r="BO54" s="3" t="n">
        <v>0.00277839915746777</v>
      </c>
      <c r="BP54" s="3" t="n">
        <v>0.015377898108666</v>
      </c>
      <c r="BQ54" s="3" t="n">
        <v>0.0382834561649196</v>
      </c>
      <c r="BR54" s="3" t="n">
        <v>0.0639951325731725</v>
      </c>
      <c r="BS54" s="169"/>
      <c r="BT54" s="169"/>
      <c r="BU54" s="169"/>
      <c r="BV54" s="169"/>
      <c r="BW54" s="169"/>
      <c r="BX54" s="169"/>
      <c r="BY54" s="169"/>
    </row>
    <row r="55" customFormat="false" ht="12.75" hidden="true" customHeight="false" outlineLevel="0" collapsed="false">
      <c r="A55" s="3" t="n">
        <v>2</v>
      </c>
      <c r="B55" s="3" t="n">
        <v>2.4</v>
      </c>
      <c r="C55" s="3" t="s">
        <v>241</v>
      </c>
      <c r="D55" s="3" t="s">
        <v>245</v>
      </c>
      <c r="E55" s="3" t="n">
        <v>0.819972623344663</v>
      </c>
      <c r="F55" s="3" t="n">
        <v>0.777787971860664</v>
      </c>
      <c r="G55" s="3" t="n">
        <v>0.489616173671883</v>
      </c>
      <c r="H55" s="3" t="n">
        <v>0.0740640664892801</v>
      </c>
      <c r="I55" s="3" t="n">
        <v>1.08076636826349</v>
      </c>
      <c r="J55" s="3" t="n">
        <v>1.09499765911362</v>
      </c>
      <c r="K55" s="3" t="n">
        <v>0.109353761775687</v>
      </c>
      <c r="L55" s="168" t="n">
        <v>3.62912486519383E-015</v>
      </c>
      <c r="M55" s="3" t="n">
        <v>0.190037364150284</v>
      </c>
      <c r="N55" s="3" t="n">
        <v>0</v>
      </c>
      <c r="O55" s="3" t="n">
        <v>0.105076876753458</v>
      </c>
      <c r="P55" s="3" t="n">
        <v>0</v>
      </c>
      <c r="Q55" s="3" t="n">
        <v>0.170552525327686</v>
      </c>
      <c r="R55" s="168" t="n">
        <v>1.18526721767622E-014</v>
      </c>
      <c r="S55" s="3" t="n">
        <v>0.0968181724730094</v>
      </c>
      <c r="T55" s="3" t="n">
        <v>0</v>
      </c>
      <c r="U55" s="3" t="n">
        <v>0.178658183448291</v>
      </c>
      <c r="V55" s="3" t="n">
        <v>0</v>
      </c>
      <c r="W55" s="3" t="n">
        <v>0.00193594139441481</v>
      </c>
      <c r="X55" s="3" t="n">
        <v>0.0286283475273117</v>
      </c>
      <c r="Y55" s="168" t="n">
        <v>0.00074657936161427</v>
      </c>
      <c r="Z55" s="3" t="n">
        <v>0.0266671029754757</v>
      </c>
      <c r="AA55" s="3" t="n">
        <v>0.00199297776044375</v>
      </c>
      <c r="AB55" s="3" t="n">
        <v>0.0305197426489315</v>
      </c>
      <c r="AC55" s="3" t="n">
        <v>0.492317943995261</v>
      </c>
      <c r="AD55" s="3" t="n">
        <v>0.0645839428096525</v>
      </c>
      <c r="AE55" s="3" t="n">
        <v>0.329221822166429</v>
      </c>
      <c r="AF55" s="3" t="n">
        <v>0.0494073645862867</v>
      </c>
      <c r="AG55" s="168" t="n">
        <v>8.34676118839486E-017</v>
      </c>
      <c r="AH55" s="3" t="n">
        <v>0.0455450915282728</v>
      </c>
      <c r="AI55" s="3" t="n">
        <v>0</v>
      </c>
      <c r="AJ55" s="3" t="n">
        <v>0.0431639795397723</v>
      </c>
      <c r="AK55" s="168" t="n">
        <v>1.45164994607753E-014</v>
      </c>
      <c r="AL55" s="3" t="n">
        <v>0.0033525061175792</v>
      </c>
      <c r="AM55" s="3" t="n">
        <v>0.0155748955652394</v>
      </c>
      <c r="AN55" s="3" t="n">
        <v>0.00840357853273668</v>
      </c>
      <c r="AO55" s="3" t="n">
        <v>0.0156689536061839</v>
      </c>
      <c r="AP55" s="3" t="n">
        <v>0.00129281852966772</v>
      </c>
      <c r="AQ55" s="3" t="n">
        <v>0.0166482361874704</v>
      </c>
      <c r="AR55" s="3" t="n">
        <v>0.286680587151065</v>
      </c>
      <c r="AS55" s="3" t="n">
        <v>0.691594090937442</v>
      </c>
      <c r="AT55" s="3" t="n">
        <v>0.0961513140496713</v>
      </c>
      <c r="AU55" s="168" t="n">
        <v>0.000142665771363595</v>
      </c>
      <c r="AV55" s="3" t="n">
        <v>0.00159439151482188</v>
      </c>
      <c r="AW55" s="168" t="n">
        <v>0.000311750503644862</v>
      </c>
      <c r="AX55" s="3" t="n">
        <v>0.00343705343498759</v>
      </c>
      <c r="AY55" s="3" t="n">
        <v>0.0270129782104746</v>
      </c>
      <c r="AZ55" s="168" t="n">
        <v>3.33911791381288E-021</v>
      </c>
      <c r="BA55" s="3" t="n">
        <v>0.00174551814405709</v>
      </c>
      <c r="BB55" s="3" t="n">
        <v>0.00178016570355141</v>
      </c>
      <c r="BC55" s="3" t="n">
        <v>0.00171255444597694</v>
      </c>
      <c r="BD55" s="3" t="n">
        <v>0.00794339180119527</v>
      </c>
      <c r="BE55" s="3" t="n">
        <v>0.00617646154780483</v>
      </c>
      <c r="BF55" s="3" t="n">
        <v>0.00582359765314182</v>
      </c>
      <c r="BG55" s="3" t="n">
        <v>0.189997126979922</v>
      </c>
      <c r="BH55" s="3" t="n">
        <v>0.146724187355973</v>
      </c>
      <c r="BI55" s="3" t="n">
        <v>0.138533178512126</v>
      </c>
      <c r="BJ55" s="168" t="n">
        <v>0.000529528582730455</v>
      </c>
      <c r="BK55" s="3" t="n">
        <v>0.0011504695797421</v>
      </c>
      <c r="BL55" s="3" t="n">
        <v>0.00296829882034948</v>
      </c>
      <c r="BM55" s="168" t="n">
        <v>0.000671576224461608</v>
      </c>
      <c r="BN55" s="3" t="n">
        <v>0.00600697246585538</v>
      </c>
      <c r="BO55" s="3" t="n">
        <v>0.00116275075135875</v>
      </c>
      <c r="BP55" s="3" t="n">
        <v>0.0134601825200514</v>
      </c>
      <c r="BQ55" s="3" t="n">
        <v>0.10612382503087</v>
      </c>
      <c r="BR55" s="3" t="n">
        <v>0.0321010383001811</v>
      </c>
      <c r="BS55" s="169"/>
      <c r="BT55" s="169"/>
      <c r="BU55" s="169"/>
      <c r="BV55" s="169"/>
      <c r="BW55" s="169"/>
      <c r="BX55" s="169"/>
      <c r="BY55" s="169"/>
    </row>
    <row r="56" customFormat="false" ht="12.75" hidden="true" customHeight="false" outlineLevel="0" collapsed="false">
      <c r="A56" s="3" t="n">
        <v>2</v>
      </c>
      <c r="B56" s="3" t="n">
        <v>2.4</v>
      </c>
      <c r="C56" s="3" t="s">
        <v>242</v>
      </c>
      <c r="D56" s="3" t="s">
        <v>245</v>
      </c>
      <c r="E56" s="3" t="n">
        <v>0.698328132227324</v>
      </c>
      <c r="F56" s="3" t="n">
        <v>0.647833280375719</v>
      </c>
      <c r="G56" s="3" t="n">
        <v>0.185767632113063</v>
      </c>
      <c r="H56" s="3" t="n">
        <v>0.0725431409825926</v>
      </c>
      <c r="I56" s="3" t="n">
        <v>0.691568486954205</v>
      </c>
      <c r="J56" s="3" t="n">
        <v>0.731157586417814</v>
      </c>
      <c r="K56" s="3" t="n">
        <v>0.113982564414825</v>
      </c>
      <c r="L56" s="168" t="n">
        <v>4.19055243568485E-015</v>
      </c>
      <c r="M56" s="3" t="n">
        <v>0.16851644985502</v>
      </c>
      <c r="N56" s="3" t="n">
        <v>0</v>
      </c>
      <c r="O56" s="3" t="n">
        <v>0.0849873914902477</v>
      </c>
      <c r="P56" s="3" t="n">
        <v>0</v>
      </c>
      <c r="Q56" s="3" t="n">
        <v>0.155851824107183</v>
      </c>
      <c r="R56" s="168" t="n">
        <v>1.18526721767622E-014</v>
      </c>
      <c r="S56" s="3" t="n">
        <v>0.110510727658166</v>
      </c>
      <c r="T56" s="3" t="n">
        <v>0</v>
      </c>
      <c r="U56" s="3" t="n">
        <v>0.211141874410802</v>
      </c>
      <c r="V56" s="3" t="n">
        <v>0</v>
      </c>
      <c r="W56" s="3" t="n">
        <v>0.00194273362445282</v>
      </c>
      <c r="X56" s="3" t="n">
        <v>0.0348146156081681</v>
      </c>
      <c r="Y56" s="168" t="n">
        <v>0.000786551416222948</v>
      </c>
      <c r="Z56" s="3" t="n">
        <v>0.0327255885301969</v>
      </c>
      <c r="AA56" s="3" t="n">
        <v>0.00216553934132823</v>
      </c>
      <c r="AB56" s="3" t="n">
        <v>0.0647630640620753</v>
      </c>
      <c r="AC56" s="3" t="n">
        <v>0.328106430424995</v>
      </c>
      <c r="AD56" s="3" t="n">
        <v>0.0640399312872506</v>
      </c>
      <c r="AE56" s="3" t="n">
        <v>0.38658486139547</v>
      </c>
      <c r="AF56" s="3" t="n">
        <v>0.0450348941683374</v>
      </c>
      <c r="AG56" s="168" t="n">
        <v>8.96585975559691E-017</v>
      </c>
      <c r="AH56" s="3" t="n">
        <v>0.0567868086335447</v>
      </c>
      <c r="AI56" s="3" t="n">
        <v>0</v>
      </c>
      <c r="AJ56" s="3" t="n">
        <v>0.0391576483635393</v>
      </c>
      <c r="AK56" s="168" t="n">
        <v>1.45164994607753E-014</v>
      </c>
      <c r="AL56" s="3" t="n">
        <v>0.00243870041775054</v>
      </c>
      <c r="AM56" s="3" t="n">
        <v>0.0195876110550074</v>
      </c>
      <c r="AN56" s="3" t="n">
        <v>0.00872660538001357</v>
      </c>
      <c r="AO56" s="3" t="n">
        <v>0.0380426104535258</v>
      </c>
      <c r="AP56" s="168" t="n">
        <v>0.00091551410551192</v>
      </c>
      <c r="AQ56" s="3" t="n">
        <v>0.0312767115029096</v>
      </c>
      <c r="AR56" s="3" t="n">
        <v>0.184587700683112</v>
      </c>
      <c r="AS56" s="3" t="n">
        <v>0.681443956246117</v>
      </c>
      <c r="AT56" s="3" t="n">
        <v>0.021659349154505</v>
      </c>
      <c r="AU56" s="168" t="n">
        <v>0.000309647232194576</v>
      </c>
      <c r="AV56" s="168" t="n">
        <v>0.000465596122721388</v>
      </c>
      <c r="AW56" s="168" t="n">
        <v>0.000106168576645222</v>
      </c>
      <c r="AX56" s="3" t="n">
        <v>0.00746001145405666</v>
      </c>
      <c r="AY56" s="3" t="n">
        <v>0.00788864927154448</v>
      </c>
      <c r="AZ56" s="168" t="n">
        <v>1.13710915035153E-021</v>
      </c>
      <c r="BA56" s="3" t="n">
        <v>0.00159869320619536</v>
      </c>
      <c r="BB56" s="3" t="n">
        <v>0.0016999620567805</v>
      </c>
      <c r="BC56" s="3" t="n">
        <v>0.00179371225351461</v>
      </c>
      <c r="BD56" s="3" t="n">
        <v>0.00543592054710713</v>
      </c>
      <c r="BE56" s="3" t="n">
        <v>0.00507127208019907</v>
      </c>
      <c r="BF56" s="3" t="n">
        <v>0.00444272900977979</v>
      </c>
      <c r="BG56" s="3" t="n">
        <v>0.129493468804026</v>
      </c>
      <c r="BH56" s="3" t="n">
        <v>0.120175535122577</v>
      </c>
      <c r="BI56" s="3" t="n">
        <v>0.10510300483291</v>
      </c>
      <c r="BJ56" s="3" t="n">
        <v>0.00209647637937422</v>
      </c>
      <c r="BK56" s="3" t="n">
        <v>0.00102110412065429</v>
      </c>
      <c r="BL56" s="3" t="n">
        <v>0.00525612558763281</v>
      </c>
      <c r="BM56" s="3" t="n">
        <v>0.00148992155054095</v>
      </c>
      <c r="BN56" s="3" t="n">
        <v>0.00306652288958131</v>
      </c>
      <c r="BO56" s="3" t="n">
        <v>0.00331047699087844</v>
      </c>
      <c r="BP56" s="3" t="n">
        <v>0.0349586310537733</v>
      </c>
      <c r="BQ56" s="3" t="n">
        <v>0.0588185195409129</v>
      </c>
      <c r="BR56" s="3" t="n">
        <v>0.0806251315641924</v>
      </c>
      <c r="BS56" s="169"/>
      <c r="BT56" s="169"/>
      <c r="BU56" s="169"/>
      <c r="BV56" s="169"/>
      <c r="BW56" s="169"/>
      <c r="BX56" s="169"/>
      <c r="BY56" s="169"/>
    </row>
    <row r="57" customFormat="false" ht="12.75" hidden="true" customHeight="false" outlineLevel="0" collapsed="false">
      <c r="A57" s="3" t="n">
        <v>2</v>
      </c>
      <c r="B57" s="3" t="n">
        <v>2.4</v>
      </c>
      <c r="C57" s="3" t="s">
        <v>243</v>
      </c>
      <c r="D57" s="3" t="s">
        <v>245</v>
      </c>
      <c r="E57" s="3" t="n">
        <v>0.642040464370499</v>
      </c>
      <c r="F57" s="3" t="n">
        <v>0.583549310666773</v>
      </c>
      <c r="G57" s="3" t="n">
        <v>0.140563401403013</v>
      </c>
      <c r="H57" s="3" t="n">
        <v>0.0855802990288969</v>
      </c>
      <c r="I57" s="3" t="n">
        <v>0.61789393731628</v>
      </c>
      <c r="J57" s="3" t="n">
        <v>0.663104554528653</v>
      </c>
      <c r="K57" s="3" t="n">
        <v>0.128485143310236</v>
      </c>
      <c r="L57" s="168" t="n">
        <v>3.62912486519383E-015</v>
      </c>
      <c r="M57" s="3" t="n">
        <v>0.19544598468</v>
      </c>
      <c r="N57" s="3" t="n">
        <v>0</v>
      </c>
      <c r="O57" s="3" t="n">
        <v>0.0928237377771789</v>
      </c>
      <c r="P57" s="3" t="n">
        <v>0</v>
      </c>
      <c r="Q57" s="3" t="n">
        <v>0.15280518701836</v>
      </c>
      <c r="R57" s="168" t="n">
        <v>5.92633608838112E-015</v>
      </c>
      <c r="S57" s="3" t="n">
        <v>0.107911992684854</v>
      </c>
      <c r="T57" s="3" t="n">
        <v>0</v>
      </c>
      <c r="U57" s="3" t="n">
        <v>0.220837250991228</v>
      </c>
      <c r="V57" s="3" t="n">
        <v>0</v>
      </c>
      <c r="W57" s="3" t="n">
        <v>0.0020459842966055</v>
      </c>
      <c r="X57" s="3" t="n">
        <v>0.0198001528425736</v>
      </c>
      <c r="Y57" s="168" t="n">
        <v>0.000580002635676269</v>
      </c>
      <c r="Z57" s="3" t="n">
        <v>0.0199639775335967</v>
      </c>
      <c r="AA57" s="3" t="n">
        <v>0.00174509445994491</v>
      </c>
      <c r="AB57" s="3" t="n">
        <v>0.0262052220551703</v>
      </c>
      <c r="AC57" s="3" t="n">
        <v>0.321736151607901</v>
      </c>
      <c r="AD57" s="3" t="n">
        <v>0.064426817982589</v>
      </c>
      <c r="AE57" s="3" t="n">
        <v>0.325940709252196</v>
      </c>
      <c r="AF57" s="3" t="n">
        <v>0.0533124799539514</v>
      </c>
      <c r="AG57" s="168" t="n">
        <v>9.82160727113637E-017</v>
      </c>
      <c r="AH57" s="3" t="n">
        <v>0.0595594045190727</v>
      </c>
      <c r="AI57" s="3" t="n">
        <v>0</v>
      </c>
      <c r="AJ57" s="3" t="n">
        <v>0.0384944638217962</v>
      </c>
      <c r="AK57" s="168" t="n">
        <v>1.45164994607753E-014</v>
      </c>
      <c r="AL57" s="3" t="n">
        <v>0.00263389016437133</v>
      </c>
      <c r="AM57" s="3" t="n">
        <v>0.0187145819695371</v>
      </c>
      <c r="AN57" s="3" t="n">
        <v>0.00719326226602036</v>
      </c>
      <c r="AO57" s="3" t="n">
        <v>0.0113524318722519</v>
      </c>
      <c r="AP57" s="168" t="n">
        <v>0.000994284653457689</v>
      </c>
      <c r="AQ57" s="3" t="n">
        <v>0.0211979203418601</v>
      </c>
      <c r="AR57" s="3" t="n">
        <v>0.158860819040068</v>
      </c>
      <c r="AS57" s="3" t="n">
        <v>0.499260563435727</v>
      </c>
      <c r="AT57" s="3" t="n">
        <v>0.0242687693238209</v>
      </c>
      <c r="AU57" s="168" t="n">
        <v>0.000255638258771438</v>
      </c>
      <c r="AV57" s="168" t="n">
        <v>0.00076280608734116</v>
      </c>
      <c r="AW57" s="168" t="n">
        <v>0.000229553878618223</v>
      </c>
      <c r="AX57" s="3" t="n">
        <v>0.00615885065255097</v>
      </c>
      <c r="AY57" s="3" t="n">
        <v>0.0129245094260562</v>
      </c>
      <c r="AZ57" s="168" t="n">
        <v>2.4586239481261E-021</v>
      </c>
      <c r="BA57" s="3" t="n">
        <v>0.00142303868074093</v>
      </c>
      <c r="BB57" s="3" t="n">
        <v>0.00155475649419156</v>
      </c>
      <c r="BC57" s="3" t="n">
        <v>0.00177951952992724</v>
      </c>
      <c r="BD57" s="3" t="n">
        <v>0.00375082679869376</v>
      </c>
      <c r="BE57" s="3" t="n">
        <v>0.00413939494684937</v>
      </c>
      <c r="BF57" s="3" t="n">
        <v>0.00402678762646479</v>
      </c>
      <c r="BG57" s="3" t="n">
        <v>0.0889884613111837</v>
      </c>
      <c r="BH57" s="3" t="n">
        <v>0.0978441303143236</v>
      </c>
      <c r="BI57" s="3" t="n">
        <v>0.0950621089972248</v>
      </c>
      <c r="BJ57" s="3" t="n">
        <v>0.0011423489087299</v>
      </c>
      <c r="BK57" s="168" t="n">
        <v>0.0007000424167271</v>
      </c>
      <c r="BL57" s="3" t="n">
        <v>0.00641491310718605</v>
      </c>
      <c r="BM57" s="168" t="n">
        <v>0.00069970253073251</v>
      </c>
      <c r="BN57" s="3" t="n">
        <v>0.00367219501143474</v>
      </c>
      <c r="BO57" s="3" t="n">
        <v>0.00434826239933917</v>
      </c>
      <c r="BP57" s="3" t="n">
        <v>0.0159394786436057</v>
      </c>
      <c r="BQ57" s="3" t="n">
        <v>0.0658053798516653</v>
      </c>
      <c r="BR57" s="3" t="n">
        <v>0.103556933531652</v>
      </c>
      <c r="BS57" s="169"/>
      <c r="BT57" s="169"/>
      <c r="BU57" s="169"/>
      <c r="BV57" s="169"/>
      <c r="BW57" s="169"/>
      <c r="BX57" s="169"/>
      <c r="BY57" s="169"/>
    </row>
    <row r="58" customFormat="false" ht="12.75" hidden="false" customHeight="false" outlineLevel="0" collapsed="false">
      <c r="A58" s="3" t="n">
        <v>1</v>
      </c>
      <c r="B58" s="3" t="n">
        <v>1.1</v>
      </c>
      <c r="C58" s="3" t="s">
        <v>244</v>
      </c>
      <c r="D58" s="3" t="s">
        <v>245</v>
      </c>
      <c r="E58" s="3" t="n">
        <v>0.10805548880552</v>
      </c>
      <c r="F58" s="3" t="n">
        <v>0.0743430702439137</v>
      </c>
      <c r="G58" s="3" t="n">
        <v>0.0108642846327313</v>
      </c>
      <c r="H58" s="3" t="n">
        <v>0.04879131675385</v>
      </c>
      <c r="I58" s="3" t="n">
        <v>0.0850986326867977</v>
      </c>
      <c r="J58" s="3" t="n">
        <v>0.118625665236616</v>
      </c>
      <c r="K58" s="3" t="n">
        <v>0.196735895647799</v>
      </c>
      <c r="L58" s="3" t="n">
        <v>0</v>
      </c>
      <c r="M58" s="3" t="n">
        <v>0.219628042566254</v>
      </c>
      <c r="N58" s="3" t="n">
        <v>0</v>
      </c>
      <c r="O58" s="3" t="n">
        <v>0.0610105637957542</v>
      </c>
      <c r="P58" s="3" t="n">
        <v>0</v>
      </c>
      <c r="Q58" s="3" t="n">
        <v>0.107933800651827</v>
      </c>
      <c r="R58" s="3" t="n">
        <v>0.037567892248764</v>
      </c>
      <c r="S58" s="3" t="n">
        <v>0.11959181111645</v>
      </c>
      <c r="T58" s="3" t="n">
        <v>0</v>
      </c>
      <c r="U58" s="3" t="n">
        <v>0.332169156367516</v>
      </c>
      <c r="V58" s="3" t="n">
        <v>0.0080842784949093</v>
      </c>
      <c r="W58" s="168" t="n">
        <v>9.55740232654528E-005</v>
      </c>
      <c r="X58" s="3" t="n">
        <v>0.0220247120004156</v>
      </c>
      <c r="Y58" s="168" t="n">
        <v>0.000148322998233124</v>
      </c>
      <c r="Z58" s="3" t="n">
        <v>0.0378337998152915</v>
      </c>
      <c r="AA58" s="168" t="n">
        <v>4.08348849109942E-005</v>
      </c>
      <c r="AB58" s="3" t="n">
        <v>0.0382176260056931</v>
      </c>
      <c r="AC58" s="3" t="n">
        <v>0.0370321101390345</v>
      </c>
      <c r="AD58" s="3" t="n">
        <v>0.0258417704569472</v>
      </c>
      <c r="AE58" s="3" t="n">
        <v>0.0462848933470555</v>
      </c>
      <c r="AF58" s="3" t="n">
        <v>0.055335491664318</v>
      </c>
      <c r="AG58" s="168" t="n">
        <v>0.000264007367629471</v>
      </c>
      <c r="AH58" s="3" t="n">
        <v>0.0835850850195879</v>
      </c>
      <c r="AI58" s="3" t="n">
        <v>0.0081313559173323</v>
      </c>
      <c r="AJ58" s="3" t="n">
        <v>0.0273554230903828</v>
      </c>
      <c r="AK58" s="3" t="n">
        <v>0.038882585840502</v>
      </c>
      <c r="AL58" s="168" t="n">
        <v>7.1640474197816E-005</v>
      </c>
      <c r="AM58" s="3" t="n">
        <v>0.0303191976335704</v>
      </c>
      <c r="AN58" s="168" t="n">
        <v>0.000111894548640717</v>
      </c>
      <c r="AO58" s="3" t="n">
        <v>0.0750699805755642</v>
      </c>
      <c r="AP58" s="168" t="n">
        <v>0.00028637585337545</v>
      </c>
      <c r="AQ58" s="3" t="n">
        <v>0.0675079939651169</v>
      </c>
      <c r="AR58" s="3" t="n">
        <v>0.0261251158791086</v>
      </c>
      <c r="AS58" s="3" t="n">
        <v>0.0220093139175472</v>
      </c>
      <c r="AT58" s="3" t="n">
        <v>0.0280809916483333</v>
      </c>
      <c r="AU58" s="168" t="n">
        <v>0.00018776366319628</v>
      </c>
      <c r="AV58" s="3" t="n">
        <v>0.00229788226060508</v>
      </c>
      <c r="AW58" s="3" t="n">
        <v>0.00113492730313588</v>
      </c>
      <c r="AX58" s="168" t="n">
        <v>2.01084387334435E-021</v>
      </c>
      <c r="AY58" s="168" t="n">
        <v>2.479497572225E-020</v>
      </c>
      <c r="AZ58" s="168" t="n">
        <v>1.21550417857613E-020</v>
      </c>
      <c r="BA58" s="3" t="n">
        <v>0.0043774434917376</v>
      </c>
      <c r="BB58" s="3" t="n">
        <v>0.00489812446780389</v>
      </c>
      <c r="BC58" s="3" t="n">
        <v>0.00690137956742763</v>
      </c>
      <c r="BD58" s="168" t="n">
        <v>0.000134979004090344</v>
      </c>
      <c r="BE58" s="168" t="n">
        <v>0.000162770382932117</v>
      </c>
      <c r="BF58" s="168" t="n">
        <v>3.07709254272521E-005</v>
      </c>
      <c r="BG58" s="3" t="n">
        <v>0.00343791747334467</v>
      </c>
      <c r="BH58" s="3" t="n">
        <v>0.00403911959758972</v>
      </c>
      <c r="BI58" s="168" t="n">
        <v>0.000972564018276227</v>
      </c>
      <c r="BJ58" s="3" t="n">
        <v>0.00243584686049822</v>
      </c>
      <c r="BK58" s="3" t="n">
        <v>0.00175416100070898</v>
      </c>
      <c r="BL58" s="168" t="n">
        <v>0.000353609167719366</v>
      </c>
      <c r="BM58" s="168" t="n">
        <v>0.000177409288507487</v>
      </c>
      <c r="BN58" s="168" t="n">
        <v>5.89581450021893E-005</v>
      </c>
      <c r="BO58" s="168" t="n">
        <v>0.000135735451926398</v>
      </c>
      <c r="BP58" s="3" t="n">
        <v>0.00337079827746357</v>
      </c>
      <c r="BQ58" s="3" t="n">
        <v>0.00109133547895511</v>
      </c>
      <c r="BR58" s="3" t="n">
        <v>0.00254203942937429</v>
      </c>
      <c r="BS58" s="169"/>
      <c r="BT58" s="169"/>
      <c r="BU58" s="169"/>
      <c r="BV58" s="169"/>
      <c r="BW58" s="169"/>
      <c r="BX58" s="169"/>
      <c r="BY58" s="169"/>
    </row>
    <row r="59" customFormat="false" ht="12.75" hidden="false" customHeight="false" outlineLevel="0" collapsed="false">
      <c r="A59" s="3" t="n">
        <v>1</v>
      </c>
      <c r="B59" s="3" t="n">
        <v>1.2</v>
      </c>
      <c r="C59" s="3" t="s">
        <v>244</v>
      </c>
      <c r="D59" s="3" t="s">
        <v>245</v>
      </c>
      <c r="E59" s="3" t="n">
        <v>0.864299785504512</v>
      </c>
      <c r="F59" s="3" t="n">
        <v>0.85986696312692</v>
      </c>
      <c r="G59" s="3" t="n">
        <v>0.981376374817891</v>
      </c>
      <c r="H59" s="3" t="n">
        <v>0.027825053712802</v>
      </c>
      <c r="I59" s="3" t="n">
        <v>0.127837081246481</v>
      </c>
      <c r="J59" s="3" t="n">
        <v>0.117544608665045</v>
      </c>
      <c r="K59" s="3" t="n">
        <v>0.0893916703891001</v>
      </c>
      <c r="L59" s="3" t="n">
        <v>0</v>
      </c>
      <c r="M59" s="3" t="n">
        <v>0.156374581410585</v>
      </c>
      <c r="N59" s="3" t="n">
        <v>0</v>
      </c>
      <c r="O59" s="3" t="n">
        <v>0.0964752571558539</v>
      </c>
      <c r="P59" s="3" t="n">
        <v>0</v>
      </c>
      <c r="Q59" s="3" t="n">
        <v>0.17540685408093</v>
      </c>
      <c r="R59" s="3" t="n">
        <v>0.0130676461911496</v>
      </c>
      <c r="S59" s="3" t="n">
        <v>0.0999601897250314</v>
      </c>
      <c r="T59" s="3" t="n">
        <v>0</v>
      </c>
      <c r="U59" s="3" t="n">
        <v>0.163273267920285</v>
      </c>
      <c r="V59" s="3" t="n">
        <v>0.0180571693861678</v>
      </c>
      <c r="W59" s="3" t="n">
        <v>0.00165889751864388</v>
      </c>
      <c r="X59" s="3" t="n">
        <v>0.115270479101341</v>
      </c>
      <c r="Y59" s="168" t="n">
        <v>0.000547850855528174</v>
      </c>
      <c r="Z59" s="3" t="n">
        <v>0.121339109675223</v>
      </c>
      <c r="AA59" s="168" t="n">
        <v>0.000433042602868181</v>
      </c>
      <c r="AB59" s="3" t="n">
        <v>0.117025024812204</v>
      </c>
      <c r="AC59" s="3" t="n">
        <v>0.465562372986166</v>
      </c>
      <c r="AD59" s="3" t="n">
        <v>0.164230265563575</v>
      </c>
      <c r="AE59" s="3" t="n">
        <v>0.267221378413572</v>
      </c>
      <c r="AF59" s="3" t="n">
        <v>0.0380107369181969</v>
      </c>
      <c r="AG59" s="3" t="n">
        <v>0.00250048576156221</v>
      </c>
      <c r="AH59" s="3" t="n">
        <v>0.0398663168271294</v>
      </c>
      <c r="AI59" s="3" t="n">
        <v>0.0187294993195714</v>
      </c>
      <c r="AJ59" s="3" t="n">
        <v>0.0448077622269482</v>
      </c>
      <c r="AK59" s="3" t="n">
        <v>0.0108208125991439</v>
      </c>
      <c r="AL59" s="3" t="n">
        <v>0.00296438770041238</v>
      </c>
      <c r="AM59" s="3" t="n">
        <v>0.0612356618478441</v>
      </c>
      <c r="AN59" s="3" t="n">
        <v>0.00354419662198325</v>
      </c>
      <c r="AO59" s="3" t="n">
        <v>0.0816203837611638</v>
      </c>
      <c r="AP59" s="3" t="n">
        <v>0.00288553386361664</v>
      </c>
      <c r="AQ59" s="3" t="n">
        <v>0.0255788555371442</v>
      </c>
      <c r="AR59" s="3" t="n">
        <v>0.370767007605462</v>
      </c>
      <c r="AS59" s="3" t="n">
        <v>0.494083163831929</v>
      </c>
      <c r="AT59" s="3" t="n">
        <v>0.143036146406088</v>
      </c>
      <c r="AU59" s="168" t="n">
        <v>0.000814557421683743</v>
      </c>
      <c r="AV59" s="3" t="n">
        <v>0.00946449934257259</v>
      </c>
      <c r="AW59" s="168" t="n">
        <v>0.000704969465126189</v>
      </c>
      <c r="AX59" s="168" t="n">
        <v>8.72367181076597E-021</v>
      </c>
      <c r="AY59" s="168" t="n">
        <v>1.02157401458311E-019</v>
      </c>
      <c r="AZ59" s="168" t="n">
        <v>7.55071745254284E-021</v>
      </c>
      <c r="BA59" s="3" t="n">
        <v>0.00787791779730703</v>
      </c>
      <c r="BB59" s="3" t="n">
        <v>0.00875224905275975</v>
      </c>
      <c r="BC59" s="3" t="n">
        <v>0.0104844880837335</v>
      </c>
      <c r="BD59" s="3" t="n">
        <v>0.0201747461421365</v>
      </c>
      <c r="BE59" s="3" t="n">
        <v>0.0190010139217576</v>
      </c>
      <c r="BF59" s="3" t="n">
        <v>0.0166691831666702</v>
      </c>
      <c r="BG59" s="3" t="n">
        <v>0.478176457501048</v>
      </c>
      <c r="BH59" s="3" t="n">
        <v>0.447053002877207</v>
      </c>
      <c r="BI59" s="3" t="n">
        <v>0.39010438116805</v>
      </c>
      <c r="BJ59" s="3" t="n">
        <v>0.00681156029189403</v>
      </c>
      <c r="BK59" s="3" t="n">
        <v>0.00185845555334851</v>
      </c>
      <c r="BL59" s="3" t="n">
        <v>0.00124267565353421</v>
      </c>
      <c r="BM59" s="3" t="n">
        <v>0.00310360231458332</v>
      </c>
      <c r="BN59" s="3" t="n">
        <v>0.00304885791958987</v>
      </c>
      <c r="BO59" s="3" t="n">
        <v>0.0179334469396603</v>
      </c>
      <c r="BP59" s="3" t="n">
        <v>0.083712889380407</v>
      </c>
      <c r="BQ59" s="3" t="n">
        <v>0.0484082654149713</v>
      </c>
      <c r="BR59" s="3" t="n">
        <v>0.324876177819807</v>
      </c>
      <c r="BS59" s="169"/>
      <c r="BT59" s="169"/>
      <c r="BU59" s="169"/>
      <c r="BV59" s="169"/>
      <c r="BW59" s="169"/>
      <c r="BX59" s="169"/>
      <c r="BY59" s="169"/>
    </row>
    <row r="60" customFormat="false" ht="12.75" hidden="false" customHeight="false" outlineLevel="0" collapsed="false">
      <c r="A60" s="3" t="n">
        <v>1</v>
      </c>
      <c r="B60" s="3" t="n">
        <v>1.3</v>
      </c>
      <c r="C60" s="3" t="s">
        <v>244</v>
      </c>
      <c r="D60" s="3" t="s">
        <v>245</v>
      </c>
      <c r="E60" s="3" t="n">
        <v>1.25757621982469</v>
      </c>
      <c r="F60" s="3" t="n">
        <v>0.954653832659465</v>
      </c>
      <c r="G60" s="3" t="n">
        <v>0.48537328252046</v>
      </c>
      <c r="H60" s="3" t="n">
        <v>0.351915247424241</v>
      </c>
      <c r="I60" s="3" t="n">
        <v>1.39224178188284</v>
      </c>
      <c r="J60" s="3" t="n">
        <v>1.71730944145628</v>
      </c>
      <c r="K60" s="3" t="n">
        <v>0.110361235980651</v>
      </c>
      <c r="L60" s="3" t="n">
        <v>0</v>
      </c>
      <c r="M60" s="3" t="n">
        <v>0.254878536281832</v>
      </c>
      <c r="N60" s="3" t="n">
        <v>0</v>
      </c>
      <c r="O60" s="3" t="n">
        <v>0.169499509840321</v>
      </c>
      <c r="P60" s="3" t="n">
        <v>0</v>
      </c>
      <c r="Q60" s="3" t="n">
        <v>0.259498515197261</v>
      </c>
      <c r="R60" s="168" t="n">
        <v>0.000739413223730492</v>
      </c>
      <c r="S60" s="3" t="n">
        <v>0.108337700864957</v>
      </c>
      <c r="T60" s="3" t="n">
        <v>0</v>
      </c>
      <c r="U60" s="3" t="n">
        <v>0.160203717381111</v>
      </c>
      <c r="V60" s="3" t="n">
        <v>0.0270407464284834</v>
      </c>
      <c r="W60" s="3" t="n">
        <v>0.00868571497077207</v>
      </c>
      <c r="X60" s="3" t="n">
        <v>0.311237827208392</v>
      </c>
      <c r="Y60" s="3" t="n">
        <v>0.00725384367238197</v>
      </c>
      <c r="Z60" s="3" t="n">
        <v>0.345561806577602</v>
      </c>
      <c r="AA60" s="3" t="n">
        <v>0.0121541030058934</v>
      </c>
      <c r="AB60" s="3" t="n">
        <v>0.283845426338981</v>
      </c>
      <c r="AC60" s="3" t="n">
        <v>0.86408609209117</v>
      </c>
      <c r="AD60" s="3" t="n">
        <v>0.206706889440966</v>
      </c>
      <c r="AE60" s="3" t="n">
        <v>0.606630427526451</v>
      </c>
      <c r="AF60" s="3" t="n">
        <v>0.0682903089672549</v>
      </c>
      <c r="AG60" s="3" t="n">
        <v>0.00332752258841239</v>
      </c>
      <c r="AH60" s="3" t="n">
        <v>0.0415904185931087</v>
      </c>
      <c r="AI60" s="3" t="n">
        <v>0.0299640697608079</v>
      </c>
      <c r="AJ60" s="3" t="n">
        <v>0.0685551945971251</v>
      </c>
      <c r="AK60" s="3" t="n">
        <v>0.00115997680898671</v>
      </c>
      <c r="AL60" s="3" t="n">
        <v>0.0043196229969108</v>
      </c>
      <c r="AM60" s="3" t="n">
        <v>0.10322339093419</v>
      </c>
      <c r="AN60" s="3" t="n">
        <v>0.0357702410378125</v>
      </c>
      <c r="AO60" s="3" t="n">
        <v>0.325779403178616</v>
      </c>
      <c r="AP60" s="3" t="n">
        <v>0.0301312422384585</v>
      </c>
      <c r="AQ60" s="3" t="n">
        <v>0.334094969641636</v>
      </c>
      <c r="AR60" s="3" t="n">
        <v>0.613094951177229</v>
      </c>
      <c r="AS60" s="3" t="n">
        <v>0.515737200199345</v>
      </c>
      <c r="AT60" s="3" t="n">
        <v>0.14631238875912</v>
      </c>
      <c r="AU60" s="168" t="n">
        <v>0.000168328897698308</v>
      </c>
      <c r="AV60" s="3" t="n">
        <v>0.00140068170491936</v>
      </c>
      <c r="AW60" s="168" t="n">
        <v>0.000614099976724997</v>
      </c>
      <c r="AX60" s="3" t="n">
        <v>0.0016159244065213</v>
      </c>
      <c r="AY60" s="3" t="n">
        <v>0.0133626365892958</v>
      </c>
      <c r="AZ60" s="3" t="n">
        <v>0.00603551731574921</v>
      </c>
      <c r="BA60" s="168" t="n">
        <v>0.000944755573878266</v>
      </c>
      <c r="BB60" s="3" t="n">
        <v>0.00259315578703866</v>
      </c>
      <c r="BC60" s="3" t="n">
        <v>0.00109959560563259</v>
      </c>
      <c r="BD60" s="3" t="n">
        <v>0.00143788255118747</v>
      </c>
      <c r="BE60" s="3" t="n">
        <v>0.00169396944637191</v>
      </c>
      <c r="BF60" s="3" t="n">
        <v>0.00314614657030038</v>
      </c>
      <c r="BG60" s="3" t="n">
        <v>0.0338513221306178</v>
      </c>
      <c r="BH60" s="3" t="n">
        <v>0.0377393494610319</v>
      </c>
      <c r="BI60" s="3" t="n">
        <v>0.074586190518749</v>
      </c>
      <c r="BJ60" s="168" t="n">
        <v>0.000881709638577036</v>
      </c>
      <c r="BK60" s="168" t="n">
        <v>0.000980919821779765</v>
      </c>
      <c r="BL60" s="3" t="n">
        <v>0.0141064377958408</v>
      </c>
      <c r="BM60" s="3" t="n">
        <v>0.000397149989780714</v>
      </c>
      <c r="BN60" s="3" t="n">
        <v>0.01549763822772</v>
      </c>
      <c r="BO60" s="3" t="n">
        <v>0.00289292847857866</v>
      </c>
      <c r="BP60" s="3" t="n">
        <v>0.00580270551876372</v>
      </c>
      <c r="BQ60" s="3" t="n">
        <v>0.281492841178498</v>
      </c>
      <c r="BR60" s="3" t="n">
        <v>0.107634270573431</v>
      </c>
      <c r="BS60" s="169"/>
      <c r="BT60" s="169"/>
      <c r="BU60" s="169"/>
      <c r="BV60" s="169"/>
      <c r="BW60" s="169"/>
      <c r="BX60" s="169"/>
      <c r="BY60" s="169"/>
    </row>
    <row r="61" customFormat="false" ht="12.75" hidden="false" customHeight="false" outlineLevel="0" collapsed="false">
      <c r="A61" s="3" t="n">
        <v>1</v>
      </c>
      <c r="B61" s="3" t="n">
        <v>1.4</v>
      </c>
      <c r="C61" s="3" t="s">
        <v>244</v>
      </c>
      <c r="D61" s="3" t="s">
        <v>245</v>
      </c>
      <c r="E61" s="3" t="n">
        <v>1.03004426133466</v>
      </c>
      <c r="F61" s="3" t="n">
        <v>0.591233217545757</v>
      </c>
      <c r="G61" s="3" t="n">
        <v>0.225625562444678</v>
      </c>
      <c r="H61" s="3" t="n">
        <v>0.53934305755822</v>
      </c>
      <c r="I61" s="3" t="n">
        <v>0.480632615104859</v>
      </c>
      <c r="J61" s="3" t="n">
        <v>0.836173591179815</v>
      </c>
      <c r="K61" s="3" t="n">
        <v>0.0893029444788351</v>
      </c>
      <c r="L61" s="3" t="n">
        <v>0</v>
      </c>
      <c r="M61" s="3" t="n">
        <v>0.176565308959639</v>
      </c>
      <c r="N61" s="3" t="n">
        <v>0</v>
      </c>
      <c r="O61" s="3" t="n">
        <v>0.0829821371438332</v>
      </c>
      <c r="P61" s="3" t="n">
        <v>0</v>
      </c>
      <c r="Q61" s="3" t="n">
        <v>0.0796625163856659</v>
      </c>
      <c r="R61" s="3" t="n">
        <v>0.0265396954935315</v>
      </c>
      <c r="S61" s="3" t="n">
        <v>0.0423711867043283</v>
      </c>
      <c r="T61" s="3" t="n">
        <v>0</v>
      </c>
      <c r="U61" s="3" t="n">
        <v>0.11141850302756</v>
      </c>
      <c r="V61" s="3" t="n">
        <v>0.0313688425673411</v>
      </c>
      <c r="W61" s="3" t="n">
        <v>0.00243329230097151</v>
      </c>
      <c r="X61" s="3" t="n">
        <v>0.0163964831004924</v>
      </c>
      <c r="Y61" s="168" t="n">
        <v>0.000774967855979268</v>
      </c>
      <c r="Z61" s="3" t="n">
        <v>0.0262514093081888</v>
      </c>
      <c r="AA61" s="168" t="n">
        <v>0.000910915667303911</v>
      </c>
      <c r="AB61" s="3" t="n">
        <v>0.04562995252193</v>
      </c>
      <c r="AC61" s="3" t="n">
        <v>0.50482748627695</v>
      </c>
      <c r="AD61" s="3" t="n">
        <v>0.385341892729811</v>
      </c>
      <c r="AE61" s="3" t="n">
        <v>0.20032420174754</v>
      </c>
      <c r="AF61" s="3" t="n">
        <v>0.049943597050499</v>
      </c>
      <c r="AG61" s="3" t="n">
        <v>0.00150240719662085</v>
      </c>
      <c r="AH61" s="3" t="n">
        <v>0.0369372165809761</v>
      </c>
      <c r="AI61" s="3" t="n">
        <v>0.0326462501016706</v>
      </c>
      <c r="AJ61" s="3" t="n">
        <v>0.0610040027849597</v>
      </c>
      <c r="AK61" s="3" t="n">
        <v>0.0275251713216052</v>
      </c>
      <c r="AL61" s="3" t="n">
        <v>0.00844407710265485</v>
      </c>
      <c r="AM61" s="3" t="n">
        <v>0.0534204366516582</v>
      </c>
      <c r="AN61" s="3" t="n">
        <v>0.00423042036022324</v>
      </c>
      <c r="AO61" s="3" t="n">
        <v>0.028180718127256</v>
      </c>
      <c r="AP61" s="3" t="n">
        <v>0.00783512111283984</v>
      </c>
      <c r="AQ61" s="3" t="n">
        <v>0.0263305546037511</v>
      </c>
      <c r="AR61" s="3" t="n">
        <v>0.57360552535104</v>
      </c>
      <c r="AS61" s="3" t="n">
        <v>0.186084826573219</v>
      </c>
      <c r="AT61" s="3" t="n">
        <v>0.508695367672971</v>
      </c>
      <c r="AU61" s="168" t="n">
        <v>0.00070524913747103</v>
      </c>
      <c r="AV61" s="168" t="n">
        <v>0.000189696421945671</v>
      </c>
      <c r="AW61" s="3" t="n">
        <v>0.00107922178258315</v>
      </c>
      <c r="AX61" s="3" t="n">
        <v>0.0120508250119244</v>
      </c>
      <c r="AY61" s="3" t="n">
        <v>0.00321352519717003</v>
      </c>
      <c r="AZ61" s="3" t="n">
        <v>0.018577904438175</v>
      </c>
      <c r="BA61" s="3" t="n">
        <v>0.00177114264979691</v>
      </c>
      <c r="BB61" s="3" t="n">
        <v>0.00227031908208277</v>
      </c>
      <c r="BC61" s="3" t="n">
        <v>0.00286784464467708</v>
      </c>
      <c r="BD61" s="3" t="n">
        <v>0.00316525146995814</v>
      </c>
      <c r="BE61" s="3" t="n">
        <v>0.00430076986862793</v>
      </c>
      <c r="BF61" s="3" t="n">
        <v>0.00121710420138302</v>
      </c>
      <c r="BG61" s="3" t="n">
        <v>0.0744128456345502</v>
      </c>
      <c r="BH61" s="3" t="n">
        <v>0.100911495788453</v>
      </c>
      <c r="BI61" s="3" t="n">
        <v>0.0268369792867782</v>
      </c>
      <c r="BJ61" s="3" t="n">
        <v>0.00212920197011418</v>
      </c>
      <c r="BK61" s="3" t="n">
        <v>0.00210597223622352</v>
      </c>
      <c r="BL61" s="3" t="n">
        <v>0.00218705316589193</v>
      </c>
      <c r="BM61" s="168" t="n">
        <v>0.000818666083031085</v>
      </c>
      <c r="BN61" s="3" t="n">
        <v>0.00344520837850706</v>
      </c>
      <c r="BO61" s="168" t="n">
        <v>0.000369604789054093</v>
      </c>
      <c r="BP61" s="3" t="n">
        <v>0.0189410722631741</v>
      </c>
      <c r="BQ61" s="3" t="n">
        <v>0.0652483096220595</v>
      </c>
      <c r="BR61" s="3" t="n">
        <v>0.00499104301751683</v>
      </c>
      <c r="BS61" s="169"/>
      <c r="BT61" s="169"/>
      <c r="BU61" s="169"/>
      <c r="BV61" s="169"/>
      <c r="BW61" s="169"/>
      <c r="BX61" s="169"/>
      <c r="BY61" s="169"/>
    </row>
    <row r="62" customFormat="false" ht="12.75" hidden="false" customHeight="false" outlineLevel="0" collapsed="false">
      <c r="A62" s="3" t="n">
        <v>2</v>
      </c>
      <c r="B62" s="3" t="n">
        <v>2.1</v>
      </c>
      <c r="C62" s="3" t="s">
        <v>244</v>
      </c>
      <c r="D62" s="3" t="s">
        <v>245</v>
      </c>
      <c r="E62" s="3" t="n">
        <v>0.102547986675422</v>
      </c>
      <c r="F62" s="3" t="n">
        <v>0.0115946968047931</v>
      </c>
      <c r="G62" s="3" t="n">
        <v>0.00404945695654975</v>
      </c>
      <c r="H62" s="3" t="n">
        <v>0.113995680112102</v>
      </c>
      <c r="I62" s="3" t="n">
        <v>0.0155686258453084</v>
      </c>
      <c r="J62" s="3" t="n">
        <v>0.0985052334820432</v>
      </c>
      <c r="K62" s="3" t="n">
        <v>0.214791092906337</v>
      </c>
      <c r="L62" s="3" t="n">
        <v>0</v>
      </c>
      <c r="M62" s="3" t="n">
        <v>0.403149015007619</v>
      </c>
      <c r="N62" s="3" t="n">
        <v>0</v>
      </c>
      <c r="O62" s="3" t="n">
        <v>0.271676796929382</v>
      </c>
      <c r="P62" s="3" t="n">
        <v>0</v>
      </c>
      <c r="Q62" s="3" t="n">
        <v>0.507729786033549</v>
      </c>
      <c r="R62" s="3" t="n">
        <v>0.0151127966099043</v>
      </c>
      <c r="S62" s="3" t="n">
        <v>0.277981190674384</v>
      </c>
      <c r="T62" s="3" t="n">
        <v>0</v>
      </c>
      <c r="U62" s="3" t="n">
        <v>0.413936963694635</v>
      </c>
      <c r="V62" s="3" t="n">
        <v>0.0165029504550217</v>
      </c>
      <c r="W62" s="168" t="n">
        <v>0.00037193860803278</v>
      </c>
      <c r="X62" s="3" t="n">
        <v>0.0120825824025034</v>
      </c>
      <c r="Y62" s="168" t="n">
        <v>0.000545311928742978</v>
      </c>
      <c r="Z62" s="3" t="n">
        <v>0.0356559602786077</v>
      </c>
      <c r="AA62" s="168" t="n">
        <v>0.000362509294339031</v>
      </c>
      <c r="AB62" s="3" t="n">
        <v>0.0202626403319922</v>
      </c>
      <c r="AC62" s="3" t="n">
        <v>0.0570052953867623</v>
      </c>
      <c r="AD62" s="3" t="n">
        <v>0.0345530173496487</v>
      </c>
      <c r="AE62" s="3" t="n">
        <v>0.0133012313142242</v>
      </c>
      <c r="AF62" s="3" t="n">
        <v>0.101637703908474</v>
      </c>
      <c r="AG62" s="168" t="n">
        <v>0.000500066682161384</v>
      </c>
      <c r="AH62" s="3" t="n">
        <v>0.104360626968902</v>
      </c>
      <c r="AI62" s="3" t="n">
        <v>0.0146538192571266</v>
      </c>
      <c r="AJ62" s="3" t="n">
        <v>0.127921961253982</v>
      </c>
      <c r="AK62" s="3" t="n">
        <v>0.0117784955155054</v>
      </c>
      <c r="AL62" s="168" t="n">
        <v>0.000216173881922015</v>
      </c>
      <c r="AM62" s="3" t="n">
        <v>0.0632466722450496</v>
      </c>
      <c r="AN62" s="3" t="n">
        <v>0.00138390019198033</v>
      </c>
      <c r="AO62" s="3" t="n">
        <v>0.253722154675345</v>
      </c>
      <c r="AP62" s="3" t="n">
        <v>0.00104994074279758</v>
      </c>
      <c r="AQ62" s="3" t="n">
        <v>0.109122482436045</v>
      </c>
      <c r="AR62" s="3" t="n">
        <v>0.0033854269080175</v>
      </c>
      <c r="AS62" s="3" t="n">
        <v>0.0087953886392889</v>
      </c>
      <c r="AT62" s="3" t="n">
        <v>0.00631553327141209</v>
      </c>
      <c r="AU62" s="168" t="n">
        <v>0.000104110729315161</v>
      </c>
      <c r="AV62" s="168" t="n">
        <v>0.000305605600076419</v>
      </c>
      <c r="AW62" s="168" t="n">
        <v>0.000817855670462284</v>
      </c>
      <c r="AX62" s="168" t="n">
        <v>1.11496285700457E-021</v>
      </c>
      <c r="AY62" s="168" t="n">
        <v>3.29732413023841E-021</v>
      </c>
      <c r="AZ62" s="168" t="n">
        <v>8.75866455394135E-021</v>
      </c>
      <c r="BA62" s="3" t="n">
        <v>0.00231620658897289</v>
      </c>
      <c r="BB62" s="3" t="n">
        <v>0.00301417508519089</v>
      </c>
      <c r="BC62" s="3" t="n">
        <v>0.005226403960747</v>
      </c>
      <c r="BD62" s="168" t="n">
        <v>0.000175870652754177</v>
      </c>
      <c r="BE62" s="168" t="n">
        <v>0.000170472727801563</v>
      </c>
      <c r="BF62" s="168" t="n">
        <v>5.61983200622423E-005</v>
      </c>
      <c r="BG62" s="3" t="n">
        <v>0.00419600866482117</v>
      </c>
      <c r="BH62" s="3" t="n">
        <v>0.00409457918211778</v>
      </c>
      <c r="BI62" s="3" t="n">
        <v>0.00146694293902284</v>
      </c>
      <c r="BJ62" s="3" t="n">
        <v>0.00189114469716796</v>
      </c>
      <c r="BK62" s="3" t="n">
        <v>0.00119019628365002</v>
      </c>
      <c r="BL62" s="168" t="n">
        <v>0.00039309042384535</v>
      </c>
      <c r="BM62" s="168" t="n">
        <v>1.04064619312338E-005</v>
      </c>
      <c r="BN62" s="168" t="n">
        <v>6.5164087213855E-005</v>
      </c>
      <c r="BO62" s="168" t="n">
        <v>1.15314753952142E-005</v>
      </c>
      <c r="BP62" s="168" t="n">
        <v>0.000196964589126549</v>
      </c>
      <c r="BQ62" s="3" t="n">
        <v>0.00121126023984815</v>
      </c>
      <c r="BR62" s="168" t="n">
        <v>0.000213950133090504</v>
      </c>
      <c r="BS62" s="169"/>
      <c r="BT62" s="169"/>
      <c r="BU62" s="169"/>
      <c r="BV62" s="169"/>
      <c r="BW62" s="169"/>
      <c r="BX62" s="169"/>
      <c r="BY62" s="169"/>
    </row>
    <row r="63" customFormat="false" ht="12.75" hidden="false" customHeight="false" outlineLevel="0" collapsed="false">
      <c r="A63" s="3" t="n">
        <v>2</v>
      </c>
      <c r="B63" s="3" t="n">
        <v>2.2</v>
      </c>
      <c r="C63" s="3" t="s">
        <v>244</v>
      </c>
      <c r="D63" s="3" t="s">
        <v>245</v>
      </c>
      <c r="E63" s="3" t="n">
        <v>0.736951268754833</v>
      </c>
      <c r="F63" s="3" t="n">
        <v>1.54027470119088</v>
      </c>
      <c r="G63" s="3" t="n">
        <v>2.02021450504798</v>
      </c>
      <c r="H63" s="3" t="n">
        <v>1.11120592877151</v>
      </c>
      <c r="I63" s="3" t="n">
        <v>3.55983525041557</v>
      </c>
      <c r="J63" s="3" t="n">
        <v>2.62766223943275</v>
      </c>
      <c r="K63" s="3" t="n">
        <v>0.0711892836101263</v>
      </c>
      <c r="L63" s="3" t="n">
        <v>0</v>
      </c>
      <c r="M63" s="3" t="n">
        <v>0.0934595199149639</v>
      </c>
      <c r="N63" s="3" t="n">
        <v>0</v>
      </c>
      <c r="O63" s="3" t="n">
        <v>0.0949885081584828</v>
      </c>
      <c r="P63" s="3" t="n">
        <v>0</v>
      </c>
      <c r="Q63" s="3" t="n">
        <v>0.252229858283996</v>
      </c>
      <c r="R63" s="3" t="n">
        <v>0.0336670660348252</v>
      </c>
      <c r="S63" s="3" t="n">
        <v>0.158369893184785</v>
      </c>
      <c r="T63" s="3" t="n">
        <v>0</v>
      </c>
      <c r="U63" s="3" t="n">
        <v>0.212674931352249</v>
      </c>
      <c r="V63" s="3" t="n">
        <v>0.0171246724235941</v>
      </c>
      <c r="W63" s="3" t="n">
        <v>0.00230043829520009</v>
      </c>
      <c r="X63" s="3" t="n">
        <v>0.223107969123239</v>
      </c>
      <c r="Y63" s="3" t="n">
        <v>0.00670766335627472</v>
      </c>
      <c r="Z63" s="3" t="n">
        <v>0.214747397546655</v>
      </c>
      <c r="AA63" s="3" t="n">
        <v>0.00901534432240665</v>
      </c>
      <c r="AB63" s="3" t="n">
        <v>0.149006443101492</v>
      </c>
      <c r="AC63" s="3" t="n">
        <v>0.43580918483637</v>
      </c>
      <c r="AD63" s="3" t="n">
        <v>0.446461997191326</v>
      </c>
      <c r="AE63" s="3" t="n">
        <v>0.425201989382978</v>
      </c>
      <c r="AF63" s="3" t="n">
        <v>0.013980856612533</v>
      </c>
      <c r="AG63" s="3" t="n">
        <v>0.00396639085666442</v>
      </c>
      <c r="AH63" s="3" t="n">
        <v>0.0520769627770602</v>
      </c>
      <c r="AI63" s="3" t="n">
        <v>0.0171466807130671</v>
      </c>
      <c r="AJ63" s="3" t="n">
        <v>0.0293023512084335</v>
      </c>
      <c r="AK63" s="3" t="n">
        <v>0.0294376687200109</v>
      </c>
      <c r="AL63" s="3" t="n">
        <v>0.0059355565375603</v>
      </c>
      <c r="AM63" s="3" t="n">
        <v>0.166993907816585</v>
      </c>
      <c r="AN63" s="3" t="n">
        <v>0.00447768766515591</v>
      </c>
      <c r="AO63" s="3" t="n">
        <v>0.0402616523834758</v>
      </c>
      <c r="AP63" s="3" t="n">
        <v>0.0346664816675264</v>
      </c>
      <c r="AQ63" s="3" t="n">
        <v>0.241937032347169</v>
      </c>
      <c r="AR63" s="3" t="n">
        <v>1.24436338886176</v>
      </c>
      <c r="AS63" s="3" t="n">
        <v>0.473686407554217</v>
      </c>
      <c r="AT63" s="3" t="n">
        <v>0.780621054552767</v>
      </c>
      <c r="AU63" s="168" t="n">
        <v>0.000504687110460482</v>
      </c>
      <c r="AV63" s="168" t="n">
        <v>0.00096527480374931</v>
      </c>
      <c r="AW63" s="168" t="n">
        <v>0.000366144517737904</v>
      </c>
      <c r="AX63" s="3" t="n">
        <v>0.0121581583407805</v>
      </c>
      <c r="AY63" s="168" t="n">
        <v>1.04150014913097E-020</v>
      </c>
      <c r="AZ63" s="3" t="n">
        <v>0.00850489649567968</v>
      </c>
      <c r="BA63" s="3" t="n">
        <v>0.0123371142539868</v>
      </c>
      <c r="BB63" s="3" t="n">
        <v>0.0132446210584752</v>
      </c>
      <c r="BC63" s="3" t="n">
        <v>0.0174631689638659</v>
      </c>
      <c r="BD63" s="3" t="n">
        <v>0.0274129683883462</v>
      </c>
      <c r="BE63" s="3" t="n">
        <v>0.0265519744794403</v>
      </c>
      <c r="BF63" s="3" t="n">
        <v>0.0308263972091692</v>
      </c>
      <c r="BG63" s="3" t="n">
        <v>0.648939594665757</v>
      </c>
      <c r="BH63" s="3" t="n">
        <v>0.624614449136497</v>
      </c>
      <c r="BI63" s="3" t="n">
        <v>0.725466542787929</v>
      </c>
      <c r="BJ63" s="3" t="n">
        <v>0.00559725291272115</v>
      </c>
      <c r="BK63" s="3" t="n">
        <v>0.00341587476539793</v>
      </c>
      <c r="BL63" s="3" t="n">
        <v>0.00635482762086173</v>
      </c>
      <c r="BM63" s="168" t="n">
        <v>0.000829353800845638</v>
      </c>
      <c r="BN63" s="168" t="n">
        <v>0.000547342167613417</v>
      </c>
      <c r="BO63" s="168" t="n">
        <v>0.000410713226519835</v>
      </c>
      <c r="BP63" s="3" t="n">
        <v>0.0352869583169187</v>
      </c>
      <c r="BQ63" s="3" t="n">
        <v>0.0161503300280471</v>
      </c>
      <c r="BR63" s="3" t="n">
        <v>0.0270833027855729</v>
      </c>
      <c r="BS63" s="169"/>
      <c r="BT63" s="169"/>
      <c r="BU63" s="169"/>
      <c r="BV63" s="169"/>
      <c r="BW63" s="169"/>
      <c r="BX63" s="169"/>
      <c r="BY63" s="169"/>
    </row>
    <row r="64" customFormat="false" ht="12.75" hidden="false" customHeight="false" outlineLevel="0" collapsed="false">
      <c r="A64" s="3" t="n">
        <v>2</v>
      </c>
      <c r="B64" s="3" t="n">
        <v>2.3</v>
      </c>
      <c r="C64" s="3" t="s">
        <v>244</v>
      </c>
      <c r="D64" s="3" t="s">
        <v>245</v>
      </c>
      <c r="E64" s="3" t="n">
        <v>0.971997833107464</v>
      </c>
      <c r="F64" s="3" t="n">
        <v>0.459812755356122</v>
      </c>
      <c r="G64" s="3" t="n">
        <v>0.469274043444895</v>
      </c>
      <c r="H64" s="3" t="n">
        <v>0.513021979008794</v>
      </c>
      <c r="I64" s="3" t="n">
        <v>0.13299500883655</v>
      </c>
      <c r="J64" s="3" t="n">
        <v>0.528655541752436</v>
      </c>
      <c r="K64" s="3" t="n">
        <v>0.0845304737018429</v>
      </c>
      <c r="L64" s="3" t="n">
        <v>0</v>
      </c>
      <c r="M64" s="3" t="n">
        <v>0.0579340778524857</v>
      </c>
      <c r="N64" s="3" t="n">
        <v>0</v>
      </c>
      <c r="O64" s="3" t="n">
        <v>0.0135142978383935</v>
      </c>
      <c r="P64" s="3" t="n">
        <v>0</v>
      </c>
      <c r="Q64" s="3" t="n">
        <v>0.0464161035797751</v>
      </c>
      <c r="R64" s="3" t="n">
        <v>0.00846589518260845</v>
      </c>
      <c r="S64" s="3" t="n">
        <v>0.0575965415809405</v>
      </c>
      <c r="T64" s="3" t="n">
        <v>0</v>
      </c>
      <c r="U64" s="3" t="n">
        <v>0.162539537440096</v>
      </c>
      <c r="V64" s="3" t="n">
        <v>0.0162352345498032</v>
      </c>
      <c r="W64" s="3" t="n">
        <v>0.00195273308023968</v>
      </c>
      <c r="X64" s="3" t="n">
        <v>0.032881644482875</v>
      </c>
      <c r="Y64" s="3" t="n">
        <v>0.00170217624745041</v>
      </c>
      <c r="Z64" s="3" t="n">
        <v>0.0364842194727749</v>
      </c>
      <c r="AA64" s="3" t="n">
        <v>0.00128302972735374</v>
      </c>
      <c r="AB64" s="3" t="n">
        <v>0.0781543350205436</v>
      </c>
      <c r="AC64" s="3" t="n">
        <v>0.3221878843508</v>
      </c>
      <c r="AD64" s="3" t="n">
        <v>0.0381738048850183</v>
      </c>
      <c r="AE64" s="3" t="n">
        <v>0.615367444269544</v>
      </c>
      <c r="AF64" s="3" t="n">
        <v>0.0167411738838425</v>
      </c>
      <c r="AG64" s="168" t="n">
        <v>0.000400608679914567</v>
      </c>
      <c r="AH64" s="3" t="n">
        <v>0.0532047405295354</v>
      </c>
      <c r="AI64" s="3" t="n">
        <v>0.0162853733893097</v>
      </c>
      <c r="AJ64" s="3" t="n">
        <v>0.0213458017654398</v>
      </c>
      <c r="AK64" s="3" t="n">
        <v>0.00904745081404969</v>
      </c>
      <c r="AL64" s="3" t="n">
        <v>0.00205250712673025</v>
      </c>
      <c r="AM64" s="3" t="n">
        <v>0.0157344551958535</v>
      </c>
      <c r="AN64" s="3" t="n">
        <v>0.00837711187094666</v>
      </c>
      <c r="AO64" s="3" t="n">
        <v>0.0403338884880583</v>
      </c>
      <c r="AP64" s="3" t="n">
        <v>0.00784390867517408</v>
      </c>
      <c r="AQ64" s="3" t="n">
        <v>0.0355477626192948</v>
      </c>
      <c r="AR64" s="3" t="n">
        <v>0.179525653902241</v>
      </c>
      <c r="AS64" s="3" t="n">
        <v>0.668781480534403</v>
      </c>
      <c r="AT64" s="3" t="n">
        <v>0.239634945215188</v>
      </c>
      <c r="AU64" s="168" t="n">
        <v>0.000242277375904213</v>
      </c>
      <c r="AV64" s="3" t="n">
        <v>0.00322953194558489</v>
      </c>
      <c r="AW64" s="3" t="n">
        <v>0.00262669405416797</v>
      </c>
      <c r="AX64" s="3" t="n">
        <v>0.00232578553613419</v>
      </c>
      <c r="AY64" s="3" t="n">
        <v>0.0547072025704473</v>
      </c>
      <c r="AZ64" s="3" t="n">
        <v>0.0610187036393384</v>
      </c>
      <c r="BA64" s="3" t="n">
        <v>0.00363442419526239</v>
      </c>
      <c r="BB64" s="3" t="n">
        <v>0.0040923037818425</v>
      </c>
      <c r="BC64" s="3" t="n">
        <v>0.00647683557810707</v>
      </c>
      <c r="BD64" s="3" t="n">
        <v>0.00679727472634118</v>
      </c>
      <c r="BE64" s="3" t="n">
        <v>0.00594225924883039</v>
      </c>
      <c r="BF64" s="3" t="n">
        <v>0.00659721175697373</v>
      </c>
      <c r="BG64" s="3" t="n">
        <v>0.160071002540682</v>
      </c>
      <c r="BH64" s="3" t="n">
        <v>0.138335661341106</v>
      </c>
      <c r="BI64" s="3" t="n">
        <v>0.151943229921917</v>
      </c>
      <c r="BJ64" s="168" t="n">
        <v>0.000660443942602193</v>
      </c>
      <c r="BK64" s="3" t="n">
        <v>0.0042458988272013</v>
      </c>
      <c r="BL64" s="3" t="n">
        <v>0.00186824224849203</v>
      </c>
      <c r="BM64" s="168" t="n">
        <v>0.000216657815018826</v>
      </c>
      <c r="BN64" s="3" t="n">
        <v>0.005097235108542</v>
      </c>
      <c r="BO64" s="3" t="n">
        <v>0.00180448820053978</v>
      </c>
      <c r="BP64" s="3" t="n">
        <v>0.00408887487682387</v>
      </c>
      <c r="BQ64" s="3" t="n">
        <v>0.0814232971456872</v>
      </c>
      <c r="BR64" s="3" t="n">
        <v>0.0389379175453407</v>
      </c>
      <c r="BS64" s="169"/>
      <c r="BT64" s="169"/>
      <c r="BU64" s="169"/>
      <c r="BV64" s="169"/>
      <c r="BW64" s="169"/>
      <c r="BX64" s="169"/>
      <c r="BY64" s="169"/>
    </row>
    <row r="65" customFormat="false" ht="12.75" hidden="false" customHeight="false" outlineLevel="0" collapsed="false">
      <c r="A65" s="3" t="n">
        <v>2</v>
      </c>
      <c r="B65" s="3" t="n">
        <v>2.4</v>
      </c>
      <c r="C65" s="3" t="s">
        <v>244</v>
      </c>
      <c r="D65" s="3" t="s">
        <v>245</v>
      </c>
      <c r="E65" s="3" t="n">
        <v>0.64190355441107</v>
      </c>
      <c r="F65" s="3" t="n">
        <v>0.763363970467839</v>
      </c>
      <c r="G65" s="3" t="n">
        <v>0.580329366673613</v>
      </c>
      <c r="H65" s="3" t="n">
        <v>0.185001254099182</v>
      </c>
      <c r="I65" s="3" t="n">
        <v>1.32011453548886</v>
      </c>
      <c r="J65" s="3" t="n">
        <v>1.1715942230978</v>
      </c>
      <c r="K65" s="3" t="n">
        <v>0.0178269661985086</v>
      </c>
      <c r="L65" s="3" t="n">
        <v>0</v>
      </c>
      <c r="M65" s="3" t="n">
        <v>0.0145093154224472</v>
      </c>
      <c r="N65" s="3" t="n">
        <v>0</v>
      </c>
      <c r="O65" s="3" t="n">
        <v>0.0147141922230743</v>
      </c>
      <c r="P65" s="3" t="n">
        <v>0</v>
      </c>
      <c r="Q65" s="3" t="n">
        <v>0.0386514454804725</v>
      </c>
      <c r="R65" s="3" t="n">
        <v>0.0173284167923909</v>
      </c>
      <c r="S65" s="3" t="n">
        <v>0.0352741625323904</v>
      </c>
      <c r="T65" s="3" t="n">
        <v>0</v>
      </c>
      <c r="U65" s="3" t="n">
        <v>0.0602807896335458</v>
      </c>
      <c r="V65" s="3" t="n">
        <v>0.0173297206057911</v>
      </c>
      <c r="W65" s="3" t="n">
        <v>0.00187569565099515</v>
      </c>
      <c r="X65" s="3" t="n">
        <v>0.0582441147785263</v>
      </c>
      <c r="Y65" s="3" t="n">
        <v>0.00188962253528484</v>
      </c>
      <c r="Z65" s="3" t="n">
        <v>0.0295178678414437</v>
      </c>
      <c r="AA65" s="3" t="n">
        <v>0.00200099660551952</v>
      </c>
      <c r="AB65" s="3" t="n">
        <v>0.059208333928636</v>
      </c>
      <c r="AC65" s="3" t="n">
        <v>0.462282887532961</v>
      </c>
      <c r="AD65" s="3" t="n">
        <v>0.487918625816606</v>
      </c>
      <c r="AE65" s="3" t="n">
        <v>0.430534780680604</v>
      </c>
      <c r="AF65" s="3" t="n">
        <v>0.00875349491049792</v>
      </c>
      <c r="AG65" s="168" t="n">
        <v>0.000592210352280226</v>
      </c>
      <c r="AH65" s="3" t="n">
        <v>0.0152135620539822</v>
      </c>
      <c r="AI65" s="3" t="n">
        <v>0.0175629421739453</v>
      </c>
      <c r="AJ65" s="3" t="n">
        <v>0.0107033243905447</v>
      </c>
      <c r="AK65" s="3" t="n">
        <v>0.0164580918803827</v>
      </c>
      <c r="AL65" s="3" t="n">
        <v>0.00706538213763687</v>
      </c>
      <c r="AM65" s="3" t="n">
        <v>0.0784046813330378</v>
      </c>
      <c r="AN65" s="3" t="n">
        <v>0.00737716007275057</v>
      </c>
      <c r="AO65" s="3" t="n">
        <v>0.045974337372875</v>
      </c>
      <c r="AP65" s="3" t="n">
        <v>0.00124391410878052</v>
      </c>
      <c r="AQ65" s="3" t="n">
        <v>0.0477634504785515</v>
      </c>
      <c r="AR65" s="3" t="n">
        <v>1.16969441414599</v>
      </c>
      <c r="AS65" s="3" t="n">
        <v>0.473986329529938</v>
      </c>
      <c r="AT65" s="3" t="n">
        <v>0.0475333212974248</v>
      </c>
      <c r="AU65" s="168" t="n">
        <v>0.000514126863465512</v>
      </c>
      <c r="AV65" s="3" t="n">
        <v>0.0010820032584075</v>
      </c>
      <c r="AW65" s="3" t="n">
        <v>0.00115757046017738</v>
      </c>
      <c r="AX65" s="3" t="n">
        <v>0.0123862705492222</v>
      </c>
      <c r="AY65" s="3" t="n">
        <v>0.0183320436536665</v>
      </c>
      <c r="AZ65" s="168" t="n">
        <v>1.23983444371428E-020</v>
      </c>
      <c r="BA65" s="3" t="n">
        <v>0.00441022376201124</v>
      </c>
      <c r="BB65" s="3" t="n">
        <v>0.00453431043905495</v>
      </c>
      <c r="BC65" s="3" t="n">
        <v>0.0051447420058499</v>
      </c>
      <c r="BD65" s="3" t="n">
        <v>0.0124219066604502</v>
      </c>
      <c r="BE65" s="3" t="n">
        <v>0.0116325836832907</v>
      </c>
      <c r="BF65" s="3" t="n">
        <v>0.00606822233433671</v>
      </c>
      <c r="BG65" s="3" t="n">
        <v>0.295101344749745</v>
      </c>
      <c r="BH65" s="3" t="n">
        <v>0.274982197452841</v>
      </c>
      <c r="BI65" s="3" t="n">
        <v>0.140643193558508</v>
      </c>
      <c r="BJ65" s="3" t="n">
        <v>0.00170989818561145</v>
      </c>
      <c r="BK65" s="3" t="n">
        <v>0.00207148977006771</v>
      </c>
      <c r="BL65" s="3" t="n">
        <v>0.00197431497062025</v>
      </c>
      <c r="BM65" s="168" t="n">
        <v>0.00098804303744469</v>
      </c>
      <c r="BN65" s="3" t="n">
        <v>0.00625299034116707</v>
      </c>
      <c r="BO65" s="3" t="n">
        <v>0.0031607143639874</v>
      </c>
      <c r="BP65" s="3" t="n">
        <v>0.0238108170491822</v>
      </c>
      <c r="BQ65" s="3" t="n">
        <v>0.106733651100121</v>
      </c>
      <c r="BR65" s="3" t="n">
        <v>0.0638628932196324</v>
      </c>
      <c r="BS65" s="169"/>
      <c r="BT65" s="169"/>
      <c r="BU65" s="169"/>
      <c r="BV65" s="169"/>
      <c r="BW65" s="169"/>
      <c r="BX65" s="169"/>
      <c r="BY65" s="169"/>
    </row>
    <row r="66" customFormat="false" ht="12.75" hidden="true" customHeight="false" outlineLevel="0" collapsed="false">
      <c r="A66" s="3" t="n">
        <v>1</v>
      </c>
      <c r="B66" s="3" t="n">
        <v>1.1</v>
      </c>
      <c r="C66" s="3" t="s">
        <v>219</v>
      </c>
      <c r="D66" s="3" t="s">
        <v>246</v>
      </c>
      <c r="E66" s="3" t="n">
        <v>101.940550083333</v>
      </c>
      <c r="F66" s="3" t="n">
        <v>50.4050075416666</v>
      </c>
      <c r="G66" s="3" t="n">
        <v>2.79745223427733</v>
      </c>
      <c r="H66" s="3" t="n">
        <v>51.5355425416666</v>
      </c>
      <c r="I66" s="3" t="n">
        <v>47.6075553073893</v>
      </c>
      <c r="J66" s="3" t="n">
        <v>99.143097849056</v>
      </c>
      <c r="K66" s="3" t="n">
        <v>281.80034</v>
      </c>
      <c r="L66" s="3" t="n">
        <v>-29.9999999999999</v>
      </c>
      <c r="M66" s="3" t="n">
        <v>488.46107</v>
      </c>
      <c r="N66" s="3" t="n">
        <v>0</v>
      </c>
      <c r="O66" s="3" t="n">
        <v>282.049859166666</v>
      </c>
      <c r="P66" s="3" t="n">
        <v>-150</v>
      </c>
      <c r="Q66" s="3" t="n">
        <v>488.219859166666</v>
      </c>
      <c r="R66" s="3" t="n">
        <v>-120.071659310044</v>
      </c>
      <c r="S66" s="3" t="n">
        <v>281.6609875</v>
      </c>
      <c r="T66" s="3" t="n">
        <v>90</v>
      </c>
      <c r="U66" s="3" t="n">
        <v>487.818818333333</v>
      </c>
      <c r="V66" s="3" t="n">
        <v>119.982266931445</v>
      </c>
      <c r="W66" s="3" t="n">
        <v>0.291510558333333</v>
      </c>
      <c r="X66" s="3" t="n">
        <v>-96.5399870585263</v>
      </c>
      <c r="Y66" s="3" t="n">
        <v>0.3584055925</v>
      </c>
      <c r="Z66" s="3" t="n">
        <v>146.833697761066</v>
      </c>
      <c r="AA66" s="3" t="n">
        <v>0.343765783333333</v>
      </c>
      <c r="AB66" s="3" t="n">
        <v>16.7087345978518</v>
      </c>
      <c r="AC66" s="3" t="n">
        <v>31.7707034166666</v>
      </c>
      <c r="AD66" s="3" t="n">
        <v>43.6380009166666</v>
      </c>
      <c r="AE66" s="3" t="n">
        <v>26.53184575</v>
      </c>
      <c r="AF66" s="3" t="n">
        <v>122.7834425</v>
      </c>
      <c r="AG66" s="3" t="n">
        <v>-0.00189573248539431</v>
      </c>
      <c r="AH66" s="3" t="n">
        <v>122.715268333333</v>
      </c>
      <c r="AI66" s="3" t="n">
        <v>120.036704335986</v>
      </c>
      <c r="AJ66" s="3" t="n">
        <v>122.757559166666</v>
      </c>
      <c r="AK66" s="3" t="n">
        <v>-120.042415437429</v>
      </c>
      <c r="AL66" s="3" t="n">
        <v>0.3295298025</v>
      </c>
      <c r="AM66" s="3" t="n">
        <v>-50.7296835741622</v>
      </c>
      <c r="AN66" s="3" t="n">
        <v>0.140897971666666</v>
      </c>
      <c r="AO66" s="3" t="n">
        <v>49.9693606861197</v>
      </c>
      <c r="AP66" s="3" t="n">
        <v>0.378963949166666</v>
      </c>
      <c r="AQ66" s="3" t="n">
        <v>173.926534709428</v>
      </c>
      <c r="AR66" s="3" t="n">
        <v>25.6118900833333</v>
      </c>
      <c r="AS66" s="3" t="n">
        <v>5.89450904166666</v>
      </c>
      <c r="AT66" s="3" t="n">
        <v>18.8986084166666</v>
      </c>
      <c r="AU66" s="3" t="n">
        <v>48.1926473</v>
      </c>
      <c r="AV66" s="3" t="n">
        <v>48.5587845916666</v>
      </c>
      <c r="AW66" s="3" t="n">
        <v>48.1960149</v>
      </c>
      <c r="AX66" s="168" t="n">
        <v>2.5805902820312E-016</v>
      </c>
      <c r="AY66" s="168" t="n">
        <v>2.61995062352799E-016</v>
      </c>
      <c r="AZ66" s="168" t="n">
        <v>2.58095094700449E-016</v>
      </c>
      <c r="BA66" s="3" t="n">
        <v>24.242111475</v>
      </c>
      <c r="BB66" s="3" t="n">
        <v>24.1923913833333</v>
      </c>
      <c r="BC66" s="3" t="n">
        <v>24.1768064333333</v>
      </c>
      <c r="BD66" s="3" t="n">
        <v>0.0403419790067977</v>
      </c>
      <c r="BE66" s="3" t="n">
        <v>0.0212593079196338</v>
      </c>
      <c r="BF66" s="3" t="n">
        <v>0.041398786773947</v>
      </c>
      <c r="BG66" s="3" t="n">
        <v>0.97797479313982</v>
      </c>
      <c r="BH66" s="3" t="n">
        <v>0.514313452834256</v>
      </c>
      <c r="BI66" s="3" t="n">
        <v>1.00089044143942</v>
      </c>
      <c r="BJ66" s="3" t="n">
        <v>18.9639864833333</v>
      </c>
      <c r="BK66" s="3" t="n">
        <v>18.610464025</v>
      </c>
      <c r="BL66" s="3" t="n">
        <v>18.7037639833333</v>
      </c>
      <c r="BM66" s="3" t="n">
        <v>0.00230923815685926</v>
      </c>
      <c r="BN66" s="3" t="n">
        <v>0.0033995577468811</v>
      </c>
      <c r="BO66" s="3" t="n">
        <v>0.0105440729288761</v>
      </c>
      <c r="BP66" s="3" t="n">
        <v>0.04379236025063</v>
      </c>
      <c r="BQ66" s="3" t="n">
        <v>0.0632673426380777</v>
      </c>
      <c r="BR66" s="3" t="n">
        <v>0.197213843975123</v>
      </c>
      <c r="BS66" s="169"/>
      <c r="BT66" s="169"/>
      <c r="BU66" s="169"/>
      <c r="BV66" s="169"/>
      <c r="BW66" s="169"/>
      <c r="BX66" s="169"/>
      <c r="BY66" s="169"/>
    </row>
    <row r="67" customFormat="false" ht="12.75" hidden="true" customHeight="false" outlineLevel="0" collapsed="false">
      <c r="A67" s="3" t="n">
        <v>1</v>
      </c>
      <c r="B67" s="3" t="n">
        <v>1.1</v>
      </c>
      <c r="C67" s="3" t="s">
        <v>221</v>
      </c>
      <c r="D67" s="3" t="s">
        <v>246</v>
      </c>
      <c r="E67" s="3" t="n">
        <v>101.809413083333</v>
      </c>
      <c r="F67" s="3" t="n">
        <v>50.27617095</v>
      </c>
      <c r="G67" s="3" t="n">
        <v>2.81442670038021</v>
      </c>
      <c r="H67" s="3" t="n">
        <v>51.5332421333333</v>
      </c>
      <c r="I67" s="3" t="n">
        <v>47.4617442496197</v>
      </c>
      <c r="J67" s="3" t="n">
        <v>98.9949863829531</v>
      </c>
      <c r="K67" s="3" t="n">
        <v>281.8135175</v>
      </c>
      <c r="L67" s="3" t="n">
        <v>-29.9999999999999</v>
      </c>
      <c r="M67" s="3" t="n">
        <v>488.52021</v>
      </c>
      <c r="N67" s="3" t="n">
        <v>0</v>
      </c>
      <c r="O67" s="3" t="n">
        <v>282.12173</v>
      </c>
      <c r="P67" s="3" t="n">
        <v>-150</v>
      </c>
      <c r="Q67" s="3" t="n">
        <v>488.373430833333</v>
      </c>
      <c r="R67" s="3" t="n">
        <v>-120.053702341035</v>
      </c>
      <c r="S67" s="3" t="n">
        <v>281.728700833333</v>
      </c>
      <c r="T67" s="3" t="n">
        <v>90</v>
      </c>
      <c r="U67" s="3" t="n">
        <v>487.8706825</v>
      </c>
      <c r="V67" s="3" t="n">
        <v>119.979020704788</v>
      </c>
      <c r="W67" s="3" t="n">
        <v>0.29155669</v>
      </c>
      <c r="X67" s="3" t="n">
        <v>-96.578826088628</v>
      </c>
      <c r="Y67" s="3" t="n">
        <v>0.358555948333333</v>
      </c>
      <c r="Z67" s="3" t="n">
        <v>146.812954805809</v>
      </c>
      <c r="AA67" s="3" t="n">
        <v>0.343847055</v>
      </c>
      <c r="AB67" s="3" t="n">
        <v>16.6619508184329</v>
      </c>
      <c r="AC67" s="3" t="n">
        <v>31.7354318333333</v>
      </c>
      <c r="AD67" s="3" t="n">
        <v>43.5982408333333</v>
      </c>
      <c r="AE67" s="3" t="n">
        <v>26.4757404166666</v>
      </c>
      <c r="AF67" s="3" t="n">
        <v>122.798713333333</v>
      </c>
      <c r="AG67" s="3" t="n">
        <v>-0.00166985022764265</v>
      </c>
      <c r="AH67" s="3" t="n">
        <v>122.728826666666</v>
      </c>
      <c r="AI67" s="3" t="n">
        <v>120.034425486942</v>
      </c>
      <c r="AJ67" s="3" t="n">
        <v>122.796625833333</v>
      </c>
      <c r="AK67" s="3" t="n">
        <v>-120.024170333333</v>
      </c>
      <c r="AL67" s="3" t="n">
        <v>0.329441158333333</v>
      </c>
      <c r="AM67" s="3" t="n">
        <v>-50.7894667221694</v>
      </c>
      <c r="AN67" s="3" t="n">
        <v>0.140796665833333</v>
      </c>
      <c r="AO67" s="3" t="n">
        <v>49.829244733671</v>
      </c>
      <c r="AP67" s="3" t="n">
        <v>0.378575758333333</v>
      </c>
      <c r="AQ67" s="3" t="n">
        <v>173.89600482895</v>
      </c>
      <c r="AR67" s="3" t="n">
        <v>25.5753795</v>
      </c>
      <c r="AS67" s="3" t="n">
        <v>5.85174203333333</v>
      </c>
      <c r="AT67" s="3" t="n">
        <v>18.8490494166666</v>
      </c>
      <c r="AU67" s="3" t="n">
        <v>48.192331575</v>
      </c>
      <c r="AV67" s="3" t="n">
        <v>48.555896375</v>
      </c>
      <c r="AW67" s="3" t="n">
        <v>48.1948866166666</v>
      </c>
      <c r="AX67" s="168" t="n">
        <v>2.58055646968154E-016</v>
      </c>
      <c r="AY67" s="168" t="n">
        <v>2.61963896989329E-016</v>
      </c>
      <c r="AZ67" s="168" t="n">
        <v>2.58083010670783E-016</v>
      </c>
      <c r="BA67" s="3" t="n">
        <v>24.2466298333333</v>
      </c>
      <c r="BB67" s="3" t="n">
        <v>24.1972353416666</v>
      </c>
      <c r="BC67" s="3" t="n">
        <v>24.1832457333333</v>
      </c>
      <c r="BD67" s="3" t="n">
        <v>0.0405566237381365</v>
      </c>
      <c r="BE67" s="3" t="n">
        <v>0.0214949029236563</v>
      </c>
      <c r="BF67" s="3" t="n">
        <v>0.0413824892601927</v>
      </c>
      <c r="BG67" s="3" t="n">
        <v>0.983361404521766</v>
      </c>
      <c r="BH67" s="3" t="n">
        <v>0.520117248791737</v>
      </c>
      <c r="BI67" s="3" t="n">
        <v>1.00076289854998</v>
      </c>
      <c r="BJ67" s="3" t="n">
        <v>18.9663928166666</v>
      </c>
      <c r="BK67" s="3" t="n">
        <v>18.60855805</v>
      </c>
      <c r="BL67" s="3" t="n">
        <v>18.703487375</v>
      </c>
      <c r="BM67" s="3" t="n">
        <v>0.002522712403466</v>
      </c>
      <c r="BN67" s="3" t="n">
        <v>0.00348875072089844</v>
      </c>
      <c r="BO67" s="3" t="n">
        <v>0.0105551313583588</v>
      </c>
      <c r="BP67" s="3" t="n">
        <v>0.0478467615673188</v>
      </c>
      <c r="BQ67" s="3" t="n">
        <v>0.0649206147459517</v>
      </c>
      <c r="BR67" s="3" t="n">
        <v>0.197417772203457</v>
      </c>
      <c r="BS67" s="169"/>
      <c r="BT67" s="169"/>
      <c r="BU67" s="169"/>
      <c r="BV67" s="169"/>
      <c r="BW67" s="169"/>
      <c r="BX67" s="169"/>
      <c r="BY67" s="169"/>
    </row>
    <row r="68" customFormat="false" ht="12.75" hidden="true" customHeight="false" outlineLevel="0" collapsed="false">
      <c r="A68" s="3" t="n">
        <v>1</v>
      </c>
      <c r="B68" s="3" t="n">
        <v>1.1</v>
      </c>
      <c r="C68" s="3" t="s">
        <v>222</v>
      </c>
      <c r="D68" s="3" t="s">
        <v>246</v>
      </c>
      <c r="E68" s="3" t="n">
        <v>101.726219083333</v>
      </c>
      <c r="F68" s="3" t="n">
        <v>50.2763123</v>
      </c>
      <c r="G68" s="3" t="n">
        <v>2.81768675072259</v>
      </c>
      <c r="H68" s="3" t="n">
        <v>51.4499067833333</v>
      </c>
      <c r="I68" s="3" t="n">
        <v>47.4586255492774</v>
      </c>
      <c r="J68" s="3" t="n">
        <v>98.9085323326107</v>
      </c>
      <c r="K68" s="3" t="n">
        <v>281.466363333333</v>
      </c>
      <c r="L68" s="3" t="n">
        <v>-29.9999999999999</v>
      </c>
      <c r="M68" s="3" t="n">
        <v>488.113696666666</v>
      </c>
      <c r="N68" s="3" t="n">
        <v>0</v>
      </c>
      <c r="O68" s="3" t="n">
        <v>282.000396666666</v>
      </c>
      <c r="P68" s="3" t="n">
        <v>-150</v>
      </c>
      <c r="Q68" s="3" t="n">
        <v>488.165264166666</v>
      </c>
      <c r="R68" s="3" t="n">
        <v>-120.125864684492</v>
      </c>
      <c r="S68" s="3" t="n">
        <v>281.496179166666</v>
      </c>
      <c r="T68" s="3" t="n">
        <v>90</v>
      </c>
      <c r="U68" s="3" t="n">
        <v>487.2711725</v>
      </c>
      <c r="V68" s="3" t="n">
        <v>119.966926559436</v>
      </c>
      <c r="W68" s="3" t="n">
        <v>0.291372978333333</v>
      </c>
      <c r="X68" s="3" t="n">
        <v>-96.5774041045655</v>
      </c>
      <c r="Y68" s="3" t="n">
        <v>0.358702229166666</v>
      </c>
      <c r="Z68" s="3" t="n">
        <v>146.760306551759</v>
      </c>
      <c r="AA68" s="3" t="n">
        <v>0.343813394166666</v>
      </c>
      <c r="AB68" s="3" t="n">
        <v>16.6329956041155</v>
      </c>
      <c r="AC68" s="3" t="n">
        <v>31.6966666666666</v>
      </c>
      <c r="AD68" s="3" t="n">
        <v>43.5895246666666</v>
      </c>
      <c r="AE68" s="3" t="n">
        <v>26.44002775</v>
      </c>
      <c r="AF68" s="3" t="n">
        <v>122.696150833333</v>
      </c>
      <c r="AG68" s="3" t="n">
        <v>-0.00136947238198104</v>
      </c>
      <c r="AH68" s="3" t="n">
        <v>122.577750833333</v>
      </c>
      <c r="AI68" s="3" t="n">
        <v>120.021619948845</v>
      </c>
      <c r="AJ68" s="3" t="n">
        <v>122.743921666666</v>
      </c>
      <c r="AK68" s="3" t="n">
        <v>-120.098759698175</v>
      </c>
      <c r="AL68" s="3" t="n">
        <v>0.329387993333333</v>
      </c>
      <c r="AM68" s="3" t="n">
        <v>-50.768363927728</v>
      </c>
      <c r="AN68" s="3" t="n">
        <v>0.141020130833333</v>
      </c>
      <c r="AO68" s="3" t="n">
        <v>49.852589265868</v>
      </c>
      <c r="AP68" s="3" t="n">
        <v>0.379134565</v>
      </c>
      <c r="AQ68" s="3" t="n">
        <v>173.797370987167</v>
      </c>
      <c r="AR68" s="3" t="n">
        <v>25.5612650833333</v>
      </c>
      <c r="AS68" s="3" t="n">
        <v>5.86409963333333</v>
      </c>
      <c r="AT68" s="3" t="n">
        <v>18.8509475833333</v>
      </c>
      <c r="AU68" s="3" t="n">
        <v>48.1923133583333</v>
      </c>
      <c r="AV68" s="3" t="n">
        <v>48.5542446083333</v>
      </c>
      <c r="AW68" s="3" t="n">
        <v>48.1937450583333</v>
      </c>
      <c r="AX68" s="168" t="n">
        <v>2.58055451871759E-016</v>
      </c>
      <c r="AY68" s="168" t="n">
        <v>2.61946074393741E-016</v>
      </c>
      <c r="AZ68" s="168" t="n">
        <v>2.58070784754898E-016</v>
      </c>
      <c r="BA68" s="3" t="n">
        <v>24.2508648333333</v>
      </c>
      <c r="BB68" s="3" t="n">
        <v>24.2021874333333</v>
      </c>
      <c r="BC68" s="3" t="n">
        <v>24.1905991</v>
      </c>
      <c r="BD68" s="3" t="n">
        <v>0.0405910889745945</v>
      </c>
      <c r="BE68" s="3" t="n">
        <v>0.0215716660503429</v>
      </c>
      <c r="BF68" s="3" t="n">
        <v>0.0414420320132077</v>
      </c>
      <c r="BG68" s="3" t="n">
        <v>0.984368928876271</v>
      </c>
      <c r="BH68" s="3" t="n">
        <v>0.522081604580922</v>
      </c>
      <c r="BI68" s="3" t="n">
        <v>1.00250757508347</v>
      </c>
      <c r="BJ68" s="3" t="n">
        <v>18.9688580583333</v>
      </c>
      <c r="BK68" s="3" t="n">
        <v>18.6069602166666</v>
      </c>
      <c r="BL68" s="3" t="n">
        <v>18.703062</v>
      </c>
      <c r="BM68" s="3" t="n">
        <v>0.00266142125481482</v>
      </c>
      <c r="BN68" s="3" t="n">
        <v>0.00351094980728917</v>
      </c>
      <c r="BO68" s="3" t="n">
        <v>0.010314696583696</v>
      </c>
      <c r="BP68" s="3" t="n">
        <v>0.0504841311522528</v>
      </c>
      <c r="BQ68" s="3" t="n">
        <v>0.0653281010059985</v>
      </c>
      <c r="BR68" s="3" t="n">
        <v>0.192916410023674</v>
      </c>
      <c r="BS68" s="169"/>
      <c r="BT68" s="169"/>
      <c r="BU68" s="169"/>
      <c r="BV68" s="169"/>
      <c r="BW68" s="169"/>
      <c r="BX68" s="169"/>
      <c r="BY68" s="169"/>
    </row>
    <row r="69" customFormat="false" ht="12.75" hidden="true" customHeight="false" outlineLevel="0" collapsed="false">
      <c r="A69" s="3" t="n">
        <v>1</v>
      </c>
      <c r="B69" s="3" t="n">
        <v>1.2</v>
      </c>
      <c r="C69" s="3" t="s">
        <v>223</v>
      </c>
      <c r="D69" s="3" t="s">
        <v>246</v>
      </c>
      <c r="E69" s="3" t="n">
        <v>459.730189166666</v>
      </c>
      <c r="F69" s="3" t="n">
        <v>402.446378333333</v>
      </c>
      <c r="G69" s="3" t="n">
        <v>298.093112246858</v>
      </c>
      <c r="H69" s="3" t="n">
        <v>57.2838108333333</v>
      </c>
      <c r="I69" s="3" t="n">
        <v>104.353266086474</v>
      </c>
      <c r="J69" s="3" t="n">
        <v>161.637076919808</v>
      </c>
      <c r="K69" s="3" t="n">
        <v>281.657803333333</v>
      </c>
      <c r="L69" s="3" t="n">
        <v>-29.9999999999999</v>
      </c>
      <c r="M69" s="3" t="n">
        <v>488.244234166666</v>
      </c>
      <c r="N69" s="3" t="n">
        <v>0</v>
      </c>
      <c r="O69" s="3" t="n">
        <v>281.916251666666</v>
      </c>
      <c r="P69" s="3" t="n">
        <v>-150</v>
      </c>
      <c r="Q69" s="3" t="n">
        <v>487.9437825</v>
      </c>
      <c r="R69" s="3" t="n">
        <v>-120.063311112052</v>
      </c>
      <c r="S69" s="3" t="n">
        <v>281.484198333333</v>
      </c>
      <c r="T69" s="3" t="n">
        <v>90</v>
      </c>
      <c r="U69" s="3" t="n">
        <v>487.5271775</v>
      </c>
      <c r="V69" s="3" t="n">
        <v>120.014924157395</v>
      </c>
      <c r="W69" s="3" t="n">
        <v>0.749724263333333</v>
      </c>
      <c r="X69" s="3" t="n">
        <v>-58.3832677883594</v>
      </c>
      <c r="Y69" s="3" t="n">
        <v>0.781197559166666</v>
      </c>
      <c r="Z69" s="3" t="n">
        <v>-178.749882084743</v>
      </c>
      <c r="AA69" s="3" t="n">
        <v>0.722082</v>
      </c>
      <c r="AB69" s="3" t="n">
        <v>56.22557119916</v>
      </c>
      <c r="AC69" s="3" t="n">
        <v>151.222659166666</v>
      </c>
      <c r="AD69" s="3" t="n">
        <v>167.426289166666</v>
      </c>
      <c r="AE69" s="3" t="n">
        <v>141.081240833333</v>
      </c>
      <c r="AF69" s="3" t="n">
        <v>122.3029925</v>
      </c>
      <c r="AG69" s="3" t="n">
        <v>-0.135670171166182</v>
      </c>
      <c r="AH69" s="3" t="n">
        <v>122.216956666666</v>
      </c>
      <c r="AI69" s="3" t="n">
        <v>119.938025088393</v>
      </c>
      <c r="AJ69" s="3" t="n">
        <v>122.211415</v>
      </c>
      <c r="AK69" s="3" t="n">
        <v>-120.140588891464</v>
      </c>
      <c r="AL69" s="3" t="n">
        <v>2.084131525</v>
      </c>
      <c r="AM69" s="3" t="n">
        <v>-55.6289216855651</v>
      </c>
      <c r="AN69" s="3" t="n">
        <v>1.90386276666666</v>
      </c>
      <c r="AO69" s="3" t="n">
        <v>61.7537344315369</v>
      </c>
      <c r="AP69" s="3" t="n">
        <v>1.82138170833333</v>
      </c>
      <c r="AQ69" s="3" t="n">
        <v>-172.681820772014</v>
      </c>
      <c r="AR69" s="3" t="n">
        <v>144.399101666666</v>
      </c>
      <c r="AS69" s="3" t="n">
        <v>122.668523333333</v>
      </c>
      <c r="AT69" s="3" t="n">
        <v>135.378753333333</v>
      </c>
      <c r="AU69" s="3" t="n">
        <v>48.1944188333333</v>
      </c>
      <c r="AV69" s="3" t="n">
        <v>48.5805570833333</v>
      </c>
      <c r="AW69" s="3" t="n">
        <v>48.1987726083333</v>
      </c>
      <c r="AX69" s="168" t="n">
        <v>2.58078000751762E-016</v>
      </c>
      <c r="AY69" s="168" t="n">
        <v>2.62230059217404E-016</v>
      </c>
      <c r="AZ69" s="168" t="n">
        <v>2.58124631230864E-016</v>
      </c>
      <c r="BA69" s="3" t="n">
        <v>24.1572930916666</v>
      </c>
      <c r="BB69" s="3" t="n">
        <v>24.0765275166666</v>
      </c>
      <c r="BC69" s="3" t="n">
        <v>24.1054449166666</v>
      </c>
      <c r="BD69" s="3" t="n">
        <v>1.14336622021977</v>
      </c>
      <c r="BE69" s="3" t="n">
        <v>1.16873734102795</v>
      </c>
      <c r="BF69" s="3" t="n">
        <v>1.1292834458308</v>
      </c>
      <c r="BG69" s="3" t="n">
        <v>27.620625086034</v>
      </c>
      <c r="BH69" s="3" t="n">
        <v>28.1391281124753</v>
      </c>
      <c r="BI69" s="3" t="n">
        <v>27.2218724376421</v>
      </c>
      <c r="BJ69" s="3" t="n">
        <v>18.293650975</v>
      </c>
      <c r="BK69" s="3" t="n">
        <v>18.2018905583333</v>
      </c>
      <c r="BL69" s="3" t="n">
        <v>18.2468480583333</v>
      </c>
      <c r="BM69" s="3" t="n">
        <v>3.97408375700511</v>
      </c>
      <c r="BN69" s="3" t="n">
        <v>3.91150966653102</v>
      </c>
      <c r="BO69" s="3" t="n">
        <v>3.90281750869824</v>
      </c>
      <c r="BP69" s="3" t="n">
        <v>72.7005025745455</v>
      </c>
      <c r="BQ69" s="3" t="n">
        <v>71.196862429265</v>
      </c>
      <c r="BR69" s="3" t="n">
        <v>71.2141216068965</v>
      </c>
      <c r="BS69" s="169"/>
      <c r="BT69" s="169"/>
      <c r="BU69" s="169"/>
      <c r="BV69" s="169"/>
      <c r="BW69" s="169"/>
      <c r="BX69" s="169"/>
      <c r="BY69" s="169"/>
    </row>
    <row r="70" customFormat="false" ht="12.75" hidden="true" customHeight="false" outlineLevel="0" collapsed="false">
      <c r="A70" s="3" t="n">
        <v>1</v>
      </c>
      <c r="B70" s="3" t="n">
        <v>1.2</v>
      </c>
      <c r="C70" s="3" t="s">
        <v>224</v>
      </c>
      <c r="D70" s="3" t="s">
        <v>246</v>
      </c>
      <c r="E70" s="3" t="n">
        <v>461.0769875</v>
      </c>
      <c r="F70" s="3" t="n">
        <v>403.819935833333</v>
      </c>
      <c r="G70" s="3" t="n">
        <v>299.608247557168</v>
      </c>
      <c r="H70" s="3" t="n">
        <v>57.2570516666666</v>
      </c>
      <c r="I70" s="3" t="n">
        <v>104.211688276165</v>
      </c>
      <c r="J70" s="3" t="n">
        <v>161.468739942831</v>
      </c>
      <c r="K70" s="3" t="n">
        <v>281.642895</v>
      </c>
      <c r="L70" s="3" t="n">
        <v>-29.9999999999999</v>
      </c>
      <c r="M70" s="3" t="n">
        <v>488.2418475</v>
      </c>
      <c r="N70" s="3" t="n">
        <v>0</v>
      </c>
      <c r="O70" s="3" t="n">
        <v>281.927475833333</v>
      </c>
      <c r="P70" s="3" t="n">
        <v>-150</v>
      </c>
      <c r="Q70" s="3" t="n">
        <v>487.9616525</v>
      </c>
      <c r="R70" s="3" t="n">
        <v>-120.078638186775</v>
      </c>
      <c r="S70" s="3" t="n">
        <v>281.480984166666</v>
      </c>
      <c r="T70" s="3" t="n">
        <v>90</v>
      </c>
      <c r="U70" s="3" t="n">
        <v>487.500031666666</v>
      </c>
      <c r="V70" s="3" t="n">
        <v>120.023578016063</v>
      </c>
      <c r="W70" s="3" t="n">
        <v>0.750019185833333</v>
      </c>
      <c r="X70" s="3" t="n">
        <v>-58.1765915024301</v>
      </c>
      <c r="Y70" s="3" t="n">
        <v>0.780739838333333</v>
      </c>
      <c r="Z70" s="3" t="n">
        <v>-178.615715725009</v>
      </c>
      <c r="AA70" s="3" t="n">
        <v>0.721544239166666</v>
      </c>
      <c r="AB70" s="3" t="n">
        <v>56.4585916411244</v>
      </c>
      <c r="AC70" s="3" t="n">
        <v>151.824065</v>
      </c>
      <c r="AD70" s="3" t="n">
        <v>167.752086666666</v>
      </c>
      <c r="AE70" s="3" t="n">
        <v>141.500835833333</v>
      </c>
      <c r="AF70" s="3" t="n">
        <v>122.3003475</v>
      </c>
      <c r="AG70" s="3" t="n">
        <v>-0.131288477260994</v>
      </c>
      <c r="AH70" s="3" t="n">
        <v>122.207965</v>
      </c>
      <c r="AI70" s="3" t="n">
        <v>119.950598275435</v>
      </c>
      <c r="AJ70" s="3" t="n">
        <v>122.216295</v>
      </c>
      <c r="AK70" s="3" t="n">
        <v>-120.15486787856</v>
      </c>
      <c r="AL70" s="3" t="n">
        <v>2.08549708333333</v>
      </c>
      <c r="AM70" s="3" t="n">
        <v>-55.5070696404489</v>
      </c>
      <c r="AN70" s="3" t="n">
        <v>1.90643948333333</v>
      </c>
      <c r="AO70" s="3" t="n">
        <v>61.914419726496</v>
      </c>
      <c r="AP70" s="3" t="n">
        <v>1.82121661666666</v>
      </c>
      <c r="AQ70" s="3" t="n">
        <v>-172.63455375049</v>
      </c>
      <c r="AR70" s="3" t="n">
        <v>144.921173333333</v>
      </c>
      <c r="AS70" s="3" t="n">
        <v>123.336810833333</v>
      </c>
      <c r="AT70" s="3" t="n">
        <v>135.561951666666</v>
      </c>
      <c r="AU70" s="3" t="n">
        <v>48.1933013083333</v>
      </c>
      <c r="AV70" s="3" t="n">
        <v>48.56823175</v>
      </c>
      <c r="AW70" s="3" t="n">
        <v>48.1974358583333</v>
      </c>
      <c r="AX70" s="168" t="n">
        <v>2.58066032337414E-016</v>
      </c>
      <c r="AY70" s="168" t="n">
        <v>2.62097015189843E-016</v>
      </c>
      <c r="AZ70" s="168" t="n">
        <v>2.58110313715543E-016</v>
      </c>
      <c r="BA70" s="3" t="n">
        <v>24.1486045583333</v>
      </c>
      <c r="BB70" s="3" t="n">
        <v>24.0669741083333</v>
      </c>
      <c r="BC70" s="3" t="n">
        <v>24.0954451916666</v>
      </c>
      <c r="BD70" s="3" t="n">
        <v>1.17048157073105</v>
      </c>
      <c r="BE70" s="3" t="n">
        <v>1.19384708936779</v>
      </c>
      <c r="BF70" s="3" t="n">
        <v>1.15238192350868</v>
      </c>
      <c r="BG70" s="3" t="n">
        <v>28.2654936440546</v>
      </c>
      <c r="BH70" s="3" t="n">
        <v>28.7322835516613</v>
      </c>
      <c r="BI70" s="3" t="n">
        <v>27.7671523266642</v>
      </c>
      <c r="BJ70" s="3" t="n">
        <v>18.2852341083333</v>
      </c>
      <c r="BK70" s="3" t="n">
        <v>18.1990031</v>
      </c>
      <c r="BL70" s="3" t="n">
        <v>18.2452826833333</v>
      </c>
      <c r="BM70" s="3" t="n">
        <v>3.96977424561453</v>
      </c>
      <c r="BN70" s="3" t="n">
        <v>3.91694916886678</v>
      </c>
      <c r="BO70" s="3" t="n">
        <v>3.88979974273891</v>
      </c>
      <c r="BP70" s="3" t="n">
        <v>72.5882531080021</v>
      </c>
      <c r="BQ70" s="3" t="n">
        <v>71.2845700715534</v>
      </c>
      <c r="BR70" s="3" t="n">
        <v>70.9704948552324</v>
      </c>
      <c r="BS70" s="169"/>
      <c r="BT70" s="169"/>
      <c r="BU70" s="169"/>
      <c r="BV70" s="169"/>
      <c r="BW70" s="169"/>
      <c r="BX70" s="169"/>
      <c r="BY70" s="169"/>
    </row>
    <row r="71" customFormat="false" ht="12.75" hidden="true" customHeight="false" outlineLevel="0" collapsed="false">
      <c r="A71" s="3" t="n">
        <v>1</v>
      </c>
      <c r="B71" s="3" t="n">
        <v>1.2</v>
      </c>
      <c r="C71" s="3" t="s">
        <v>225</v>
      </c>
      <c r="D71" s="3" t="s">
        <v>246</v>
      </c>
      <c r="E71" s="3" t="n">
        <v>461.342014166666</v>
      </c>
      <c r="F71" s="3" t="n">
        <v>404.029325833333</v>
      </c>
      <c r="G71" s="3" t="n">
        <v>299.93122259471</v>
      </c>
      <c r="H71" s="3" t="n">
        <v>57.3126883333333</v>
      </c>
      <c r="I71" s="3" t="n">
        <v>104.098103238622</v>
      </c>
      <c r="J71" s="3" t="n">
        <v>161.410791571955</v>
      </c>
      <c r="K71" s="3" t="n">
        <v>281.804640833333</v>
      </c>
      <c r="L71" s="3" t="n">
        <v>-29.9999999999999</v>
      </c>
      <c r="M71" s="3" t="n">
        <v>488.513881666666</v>
      </c>
      <c r="N71" s="3" t="n">
        <v>0</v>
      </c>
      <c r="O71" s="3" t="n">
        <v>282.088680833333</v>
      </c>
      <c r="P71" s="3" t="n">
        <v>-150</v>
      </c>
      <c r="Q71" s="3" t="n">
        <v>488.256136666666</v>
      </c>
      <c r="R71" s="3" t="n">
        <v>-120.089307699249</v>
      </c>
      <c r="S71" s="3" t="n">
        <v>281.655705</v>
      </c>
      <c r="T71" s="3" t="n">
        <v>90</v>
      </c>
      <c r="U71" s="3" t="n">
        <v>487.795423333333</v>
      </c>
      <c r="V71" s="3" t="n">
        <v>119.988886351487</v>
      </c>
      <c r="W71" s="3" t="n">
        <v>0.752733645</v>
      </c>
      <c r="X71" s="3" t="n">
        <v>-58.3683916976128</v>
      </c>
      <c r="Y71" s="3" t="n">
        <v>0.781830841666666</v>
      </c>
      <c r="Z71" s="3" t="n">
        <v>-178.857924801154</v>
      </c>
      <c r="AA71" s="3" t="n">
        <v>0.722401071666666</v>
      </c>
      <c r="AB71" s="3" t="n">
        <v>56.3230899874176</v>
      </c>
      <c r="AC71" s="3" t="n">
        <v>152.138974166666</v>
      </c>
      <c r="AD71" s="3" t="n">
        <v>167.625336666666</v>
      </c>
      <c r="AE71" s="3" t="n">
        <v>141.577703333333</v>
      </c>
      <c r="AF71" s="3" t="n">
        <v>122.367466666666</v>
      </c>
      <c r="AG71" s="3" t="n">
        <v>-0.131391776364495</v>
      </c>
      <c r="AH71" s="3" t="n">
        <v>122.281070833333</v>
      </c>
      <c r="AI71" s="3" t="n">
        <v>119.913753235291</v>
      </c>
      <c r="AJ71" s="3" t="n">
        <v>122.291349166666</v>
      </c>
      <c r="AK71" s="3" t="n">
        <v>-120.161812164745</v>
      </c>
      <c r="AL71" s="3" t="n">
        <v>2.089810725</v>
      </c>
      <c r="AM71" s="3" t="n">
        <v>-55.5573430496389</v>
      </c>
      <c r="AN71" s="3" t="n">
        <v>1.9108699</v>
      </c>
      <c r="AO71" s="3" t="n">
        <v>61.8589937024609</v>
      </c>
      <c r="AP71" s="3" t="n">
        <v>1.81630331666666</v>
      </c>
      <c r="AQ71" s="3" t="n">
        <v>-172.641240135863</v>
      </c>
      <c r="AR71" s="3" t="n">
        <v>145.116191666666</v>
      </c>
      <c r="AS71" s="3" t="n">
        <v>123.6330625</v>
      </c>
      <c r="AT71" s="3" t="n">
        <v>135.280071666666</v>
      </c>
      <c r="AU71" s="3" t="n">
        <v>48.1928334916666</v>
      </c>
      <c r="AV71" s="3" t="n">
        <v>48.5619527583333</v>
      </c>
      <c r="AW71" s="3" t="n">
        <v>48.1977159416666</v>
      </c>
      <c r="AX71" s="168" t="n">
        <v>2.58061022221367E-016</v>
      </c>
      <c r="AY71" s="168" t="n">
        <v>2.62029250685067E-016</v>
      </c>
      <c r="AZ71" s="168" t="n">
        <v>2.58113313558872E-016</v>
      </c>
      <c r="BA71" s="3" t="n">
        <v>24.1415660833333</v>
      </c>
      <c r="BB71" s="3" t="n">
        <v>24.0590482583333</v>
      </c>
      <c r="BC71" s="3" t="n">
        <v>24.0844833</v>
      </c>
      <c r="BD71" s="3" t="n">
        <v>1.18280109529855</v>
      </c>
      <c r="BE71" s="3" t="n">
        <v>1.20599527156538</v>
      </c>
      <c r="BF71" s="3" t="n">
        <v>1.1616516723746</v>
      </c>
      <c r="BG71" s="3" t="n">
        <v>28.5546691922071</v>
      </c>
      <c r="BH71" s="3" t="n">
        <v>29.0150970046518</v>
      </c>
      <c r="BI71" s="3" t="n">
        <v>27.9777790441428</v>
      </c>
      <c r="BJ71" s="3" t="n">
        <v>18.280165725</v>
      </c>
      <c r="BK71" s="3" t="n">
        <v>18.1984198833333</v>
      </c>
      <c r="BL71" s="3" t="n">
        <v>18.247737175</v>
      </c>
      <c r="BM71" s="3" t="n">
        <v>3.96806013511128</v>
      </c>
      <c r="BN71" s="3" t="n">
        <v>3.91661593495131</v>
      </c>
      <c r="BO71" s="3" t="n">
        <v>3.86736507921017</v>
      </c>
      <c r="BP71" s="3" t="n">
        <v>72.536797236652</v>
      </c>
      <c r="BQ71" s="3" t="n">
        <v>71.2762212865957</v>
      </c>
      <c r="BR71" s="3" t="n">
        <v>70.5706588304613</v>
      </c>
      <c r="BS71" s="169"/>
      <c r="BT71" s="169"/>
      <c r="BU71" s="169"/>
      <c r="BV71" s="169"/>
      <c r="BW71" s="169"/>
      <c r="BX71" s="169"/>
      <c r="BY71" s="169"/>
    </row>
    <row r="72" customFormat="false" ht="12.75" hidden="true" customHeight="false" outlineLevel="0" collapsed="false">
      <c r="A72" s="3" t="n">
        <v>1</v>
      </c>
      <c r="B72" s="3" t="n">
        <v>1.3</v>
      </c>
      <c r="C72" s="3" t="s">
        <v>226</v>
      </c>
      <c r="D72" s="3" t="s">
        <v>246</v>
      </c>
      <c r="E72" s="3" t="n">
        <v>1256.0542575</v>
      </c>
      <c r="F72" s="3" t="n">
        <v>1173.16044666666</v>
      </c>
      <c r="G72" s="3" t="n">
        <v>996.849678262176</v>
      </c>
      <c r="H72" s="3" t="n">
        <v>82.8938108333333</v>
      </c>
      <c r="I72" s="3" t="n">
        <v>176.31076840449</v>
      </c>
      <c r="J72" s="3" t="n">
        <v>259.204579237823</v>
      </c>
      <c r="K72" s="3" t="n">
        <v>281.409129166666</v>
      </c>
      <c r="L72" s="3" t="n">
        <v>-29.9999999999999</v>
      </c>
      <c r="M72" s="3" t="n">
        <v>487.612878333333</v>
      </c>
      <c r="N72" s="3" t="n">
        <v>0</v>
      </c>
      <c r="O72" s="3" t="n">
        <v>281.548289166666</v>
      </c>
      <c r="P72" s="3" t="n">
        <v>-150</v>
      </c>
      <c r="Q72" s="3" t="n">
        <v>487.501058333333</v>
      </c>
      <c r="R72" s="3" t="n">
        <v>-120.049860904097</v>
      </c>
      <c r="S72" s="3" t="n">
        <v>281.344536666666</v>
      </c>
      <c r="T72" s="3" t="n">
        <v>90</v>
      </c>
      <c r="U72" s="3" t="n">
        <v>487.2909</v>
      </c>
      <c r="V72" s="3" t="n">
        <v>119.985776779303</v>
      </c>
      <c r="W72" s="3" t="n">
        <v>1.72294475</v>
      </c>
      <c r="X72" s="3" t="n">
        <v>-46.2964432015337</v>
      </c>
      <c r="Y72" s="3" t="n">
        <v>1.82557213333333</v>
      </c>
      <c r="Z72" s="3" t="n">
        <v>-167.0665367971</v>
      </c>
      <c r="AA72" s="3" t="n">
        <v>1.74912551666666</v>
      </c>
      <c r="AB72" s="3" t="n">
        <v>68.4736767536709</v>
      </c>
      <c r="AC72" s="3" t="n">
        <v>409.969325833333</v>
      </c>
      <c r="AD72" s="3" t="n">
        <v>444.105158333333</v>
      </c>
      <c r="AE72" s="3" t="n">
        <v>401.979773333333</v>
      </c>
      <c r="AF72" s="3" t="n">
        <v>121.0865925</v>
      </c>
      <c r="AG72" s="3" t="n">
        <v>-0.292485918674628</v>
      </c>
      <c r="AH72" s="3" t="n">
        <v>121.131420833333</v>
      </c>
      <c r="AI72" s="3" t="n">
        <v>119.778893177898</v>
      </c>
      <c r="AJ72" s="3" t="n">
        <v>120.883361666666</v>
      </c>
      <c r="AK72" s="3" t="n">
        <v>-120.235412501866</v>
      </c>
      <c r="AL72" s="3" t="n">
        <v>3.76904644166666</v>
      </c>
      <c r="AM72" s="3" t="n">
        <v>-27.1177568557354</v>
      </c>
      <c r="AN72" s="3" t="n">
        <v>4.55300713333333</v>
      </c>
      <c r="AO72" s="3" t="n">
        <v>72.1550851074511</v>
      </c>
      <c r="AP72" s="3" t="n">
        <v>4.88665815833333</v>
      </c>
      <c r="AQ72" s="3" t="n">
        <v>-168.377555294877</v>
      </c>
      <c r="AR72" s="3" t="n">
        <v>407.268288333333</v>
      </c>
      <c r="AS72" s="3" t="n">
        <v>371.716631666666</v>
      </c>
      <c r="AT72" s="3" t="n">
        <v>394.175526666666</v>
      </c>
      <c r="AU72" s="3" t="n">
        <v>48.1911309916666</v>
      </c>
      <c r="AV72" s="3" t="n">
        <v>48.36953145</v>
      </c>
      <c r="AW72" s="3" t="n">
        <v>48.2079481333333</v>
      </c>
      <c r="AX72" s="3" t="n">
        <v>231.313257600861</v>
      </c>
      <c r="AY72" s="3" t="n">
        <v>230.730924359736</v>
      </c>
      <c r="AZ72" s="3" t="n">
        <v>236.90175978983</v>
      </c>
      <c r="BA72" s="3" t="n">
        <v>24.1549126249999</v>
      </c>
      <c r="BB72" s="3" t="n">
        <v>24.0774083416666</v>
      </c>
      <c r="BC72" s="3" t="n">
        <v>24.1019368416666</v>
      </c>
      <c r="BD72" s="3" t="n">
        <v>1.15653765619196</v>
      </c>
      <c r="BE72" s="3" t="n">
        <v>1.17449421181922</v>
      </c>
      <c r="BF72" s="3" t="n">
        <v>1.13534100522723</v>
      </c>
      <c r="BG72" s="3" t="n">
        <v>27.9360590814113</v>
      </c>
      <c r="BH72" s="3" t="n">
        <v>28.2787696391717</v>
      </c>
      <c r="BI72" s="3" t="n">
        <v>27.3639114591292</v>
      </c>
      <c r="BJ72" s="3" t="n">
        <v>18.2910984583333</v>
      </c>
      <c r="BK72" s="3" t="n">
        <v>18.2052673</v>
      </c>
      <c r="BL72" s="3" t="n">
        <v>18.2424185916666</v>
      </c>
      <c r="BM72" s="3" t="n">
        <v>3.97345910637903</v>
      </c>
      <c r="BN72" s="3" t="n">
        <v>3.8654185126541</v>
      </c>
      <c r="BO72" s="3" t="n">
        <v>3.90710736854875</v>
      </c>
      <c r="BP72" s="3" t="n">
        <v>72.6789325922399</v>
      </c>
      <c r="BQ72" s="3" t="n">
        <v>70.3709704758189</v>
      </c>
      <c r="BR72" s="3" t="n">
        <v>71.2750932639758</v>
      </c>
      <c r="BS72" s="169"/>
      <c r="BT72" s="169"/>
      <c r="BU72" s="169"/>
      <c r="BV72" s="169"/>
      <c r="BW72" s="169"/>
      <c r="BX72" s="169"/>
      <c r="BY72" s="169"/>
    </row>
    <row r="73" customFormat="false" ht="12.75" hidden="true" customHeight="false" outlineLevel="0" collapsed="false">
      <c r="A73" s="3" t="n">
        <v>1</v>
      </c>
      <c r="B73" s="3" t="n">
        <v>1.3</v>
      </c>
      <c r="C73" s="3" t="s">
        <v>227</v>
      </c>
      <c r="D73" s="3" t="s">
        <v>246</v>
      </c>
      <c r="E73" s="3" t="n">
        <v>1255.0323575</v>
      </c>
      <c r="F73" s="3" t="n">
        <v>1172.11082416666</v>
      </c>
      <c r="G73" s="3" t="n">
        <v>996.883455113753</v>
      </c>
      <c r="H73" s="3" t="n">
        <v>82.9215333333333</v>
      </c>
      <c r="I73" s="3" t="n">
        <v>175.227369052913</v>
      </c>
      <c r="J73" s="3" t="n">
        <v>258.148902386246</v>
      </c>
      <c r="K73" s="3" t="n">
        <v>281.622291666666</v>
      </c>
      <c r="L73" s="3" t="n">
        <v>-29.9999999999999</v>
      </c>
      <c r="M73" s="3" t="n">
        <v>488.12257</v>
      </c>
      <c r="N73" s="3" t="n">
        <v>0</v>
      </c>
      <c r="O73" s="3" t="n">
        <v>281.8845925</v>
      </c>
      <c r="P73" s="3" t="n">
        <v>-150</v>
      </c>
      <c r="Q73" s="3" t="n">
        <v>488.015963333333</v>
      </c>
      <c r="R73" s="3" t="n">
        <v>-120.048781496413</v>
      </c>
      <c r="S73" s="3" t="n">
        <v>281.560693333333</v>
      </c>
      <c r="T73" s="3" t="n">
        <v>90</v>
      </c>
      <c r="U73" s="3" t="n">
        <v>487.592559166666</v>
      </c>
      <c r="V73" s="3" t="n">
        <v>119.982311417614</v>
      </c>
      <c r="W73" s="3" t="n">
        <v>1.71932633333333</v>
      </c>
      <c r="X73" s="3" t="n">
        <v>-46.3675967131069</v>
      </c>
      <c r="Y73" s="3" t="n">
        <v>1.82546699166666</v>
      </c>
      <c r="Z73" s="3" t="n">
        <v>-167.111815847317</v>
      </c>
      <c r="AA73" s="3" t="n">
        <v>1.74972793333333</v>
      </c>
      <c r="AB73" s="3" t="n">
        <v>68.3363280815771</v>
      </c>
      <c r="AC73" s="3" t="n">
        <v>409.146625833333</v>
      </c>
      <c r="AD73" s="3" t="n">
        <v>444.14105</v>
      </c>
      <c r="AE73" s="3" t="n">
        <v>401.744681666666</v>
      </c>
      <c r="AF73" s="3" t="n">
        <v>121.223116666666</v>
      </c>
      <c r="AG73" s="3" t="n">
        <v>-0.291135710243366</v>
      </c>
      <c r="AH73" s="3" t="n">
        <v>121.211960833333</v>
      </c>
      <c r="AI73" s="3" t="n">
        <v>119.774216514171</v>
      </c>
      <c r="AJ73" s="3" t="n">
        <v>121.020279166666</v>
      </c>
      <c r="AK73" s="3" t="n">
        <v>-120.233097491372</v>
      </c>
      <c r="AL73" s="3" t="n">
        <v>3.76322084999999</v>
      </c>
      <c r="AM73" s="3" t="n">
        <v>-27.317786589109</v>
      </c>
      <c r="AN73" s="3" t="n">
        <v>4.552238175</v>
      </c>
      <c r="AO73" s="3" t="n">
        <v>72.074276606934</v>
      </c>
      <c r="AP73" s="3" t="n">
        <v>4.88951283333333</v>
      </c>
      <c r="AQ73" s="3" t="n">
        <v>-168.436393277794</v>
      </c>
      <c r="AR73" s="3" t="n">
        <v>406.37076</v>
      </c>
      <c r="AS73" s="3" t="n">
        <v>371.358588333333</v>
      </c>
      <c r="AT73" s="3" t="n">
        <v>394.381475833333</v>
      </c>
      <c r="AU73" s="3" t="n">
        <v>48.1909415333333</v>
      </c>
      <c r="AV73" s="3" t="n">
        <v>48.3668925666666</v>
      </c>
      <c r="AW73" s="3" t="n">
        <v>48.2070507416666</v>
      </c>
      <c r="AX73" s="3" t="n">
        <v>231.311438834678</v>
      </c>
      <c r="AY73" s="3" t="n">
        <v>230.705749202683</v>
      </c>
      <c r="AZ73" s="3" t="n">
        <v>236.892939989574</v>
      </c>
      <c r="BA73" s="3" t="n">
        <v>24.155119525</v>
      </c>
      <c r="BB73" s="3" t="n">
        <v>24.0779641749999</v>
      </c>
      <c r="BC73" s="3" t="n">
        <v>24.1033003416666</v>
      </c>
      <c r="BD73" s="3" t="n">
        <v>1.15795590296056</v>
      </c>
      <c r="BE73" s="3" t="n">
        <v>1.17396376179095</v>
      </c>
      <c r="BF73" s="3" t="n">
        <v>1.13107735433339</v>
      </c>
      <c r="BG73" s="3" t="n">
        <v>27.9705567970849</v>
      </c>
      <c r="BH73" s="3" t="n">
        <v>28.2666497233206</v>
      </c>
      <c r="BI73" s="3" t="n">
        <v>27.2626908495856</v>
      </c>
      <c r="BJ73" s="3" t="n">
        <v>18.2919277416666</v>
      </c>
      <c r="BK73" s="3" t="n">
        <v>18.2071692166666</v>
      </c>
      <c r="BL73" s="3" t="n">
        <v>18.2527523666666</v>
      </c>
      <c r="BM73" s="3" t="n">
        <v>3.97378088229124</v>
      </c>
      <c r="BN73" s="3" t="n">
        <v>3.86749865036192</v>
      </c>
      <c r="BO73" s="3" t="n">
        <v>3.91004720365412</v>
      </c>
      <c r="BP73" s="3" t="n">
        <v>72.6881130362724</v>
      </c>
      <c r="BQ73" s="3" t="n">
        <v>70.4161910878682</v>
      </c>
      <c r="BR73" s="3" t="n">
        <v>71.3691255926851</v>
      </c>
      <c r="BS73" s="169"/>
      <c r="BT73" s="169"/>
      <c r="BU73" s="169"/>
      <c r="BV73" s="169"/>
      <c r="BW73" s="169"/>
      <c r="BX73" s="169"/>
      <c r="BY73" s="169"/>
    </row>
    <row r="74" customFormat="false" ht="12.75" hidden="true" customHeight="false" outlineLevel="0" collapsed="false">
      <c r="A74" s="3" t="n">
        <v>1</v>
      </c>
      <c r="B74" s="3" t="n">
        <v>1.3</v>
      </c>
      <c r="C74" s="3" t="s">
        <v>228</v>
      </c>
      <c r="D74" s="3" t="s">
        <v>246</v>
      </c>
      <c r="E74" s="3" t="n">
        <v>1253.55301</v>
      </c>
      <c r="F74" s="3" t="n">
        <v>1171.2544</v>
      </c>
      <c r="G74" s="3" t="n">
        <v>997.706748819039</v>
      </c>
      <c r="H74" s="3" t="n">
        <v>82.29861</v>
      </c>
      <c r="I74" s="3" t="n">
        <v>173.54765118096</v>
      </c>
      <c r="J74" s="3" t="n">
        <v>255.84626118096</v>
      </c>
      <c r="K74" s="3" t="n">
        <v>281.466110833333</v>
      </c>
      <c r="L74" s="3" t="n">
        <v>-29.9999999999999</v>
      </c>
      <c r="M74" s="3" t="n">
        <v>487.8606525</v>
      </c>
      <c r="N74" s="3" t="n">
        <v>0</v>
      </c>
      <c r="O74" s="3" t="n">
        <v>281.753390833333</v>
      </c>
      <c r="P74" s="3" t="n">
        <v>-150</v>
      </c>
      <c r="Q74" s="3" t="n">
        <v>487.814840833333</v>
      </c>
      <c r="R74" s="3" t="n">
        <v>-120.048445783192</v>
      </c>
      <c r="S74" s="3" t="n">
        <v>281.439638333333</v>
      </c>
      <c r="T74" s="3" t="n">
        <v>90</v>
      </c>
      <c r="U74" s="3" t="n">
        <v>487.348204166666</v>
      </c>
      <c r="V74" s="3" t="n">
        <v>119.937304400626</v>
      </c>
      <c r="W74" s="3" t="n">
        <v>1.706421425</v>
      </c>
      <c r="X74" s="3" t="n">
        <v>-45.7964736581086</v>
      </c>
      <c r="Y74" s="3" t="n">
        <v>1.81295586666666</v>
      </c>
      <c r="Z74" s="3" t="n">
        <v>-166.491931613396</v>
      </c>
      <c r="AA74" s="3" t="n">
        <v>1.72838166666666</v>
      </c>
      <c r="AB74" s="3" t="n">
        <v>68.8820309124398</v>
      </c>
      <c r="AC74" s="3" t="n">
        <v>408.241804166666</v>
      </c>
      <c r="AD74" s="3" t="n">
        <v>444.479779166666</v>
      </c>
      <c r="AE74" s="3" t="n">
        <v>400.831426666666</v>
      </c>
      <c r="AF74" s="3" t="n">
        <v>121.158255</v>
      </c>
      <c r="AG74" s="3" t="n">
        <v>-0.297454388027517</v>
      </c>
      <c r="AH74" s="3" t="n">
        <v>121.153683333333</v>
      </c>
      <c r="AI74" s="3" t="n">
        <v>119.724813827083</v>
      </c>
      <c r="AJ74" s="3" t="n">
        <v>120.958116666666</v>
      </c>
      <c r="AK74" s="3" t="n">
        <v>-120.234123911147</v>
      </c>
      <c r="AL74" s="3" t="n">
        <v>3.76060876666666</v>
      </c>
      <c r="AM74" s="3" t="n">
        <v>-27.2620016289642</v>
      </c>
      <c r="AN74" s="3" t="n">
        <v>4.49067035833333</v>
      </c>
      <c r="AO74" s="3" t="n">
        <v>72.6745908037816</v>
      </c>
      <c r="AP74" s="3" t="n">
        <v>4.83595524166666</v>
      </c>
      <c r="AQ74" s="3" t="n">
        <v>-167.83055263941</v>
      </c>
      <c r="AR74" s="3" t="n">
        <v>406.095999166666</v>
      </c>
      <c r="AS74" s="3" t="n">
        <v>370.69987</v>
      </c>
      <c r="AT74" s="3" t="n">
        <v>394.458530833333</v>
      </c>
      <c r="AU74" s="3" t="n">
        <v>48.1907952583333</v>
      </c>
      <c r="AV74" s="3" t="n">
        <v>48.3673977916666</v>
      </c>
      <c r="AW74" s="3" t="n">
        <v>48.2067732333333</v>
      </c>
      <c r="AX74" s="3" t="n">
        <v>231.310034627002</v>
      </c>
      <c r="AY74" s="3" t="n">
        <v>230.710568977765</v>
      </c>
      <c r="AZ74" s="3" t="n">
        <v>236.890212610782</v>
      </c>
      <c r="BA74" s="3" t="n">
        <v>24.15338955</v>
      </c>
      <c r="BB74" s="3" t="n">
        <v>24.07322065</v>
      </c>
      <c r="BC74" s="3" t="n">
        <v>24.101124275</v>
      </c>
      <c r="BD74" s="3" t="n">
        <v>1.15941333231519</v>
      </c>
      <c r="BE74" s="3" t="n">
        <v>1.17712684196561</v>
      </c>
      <c r="BF74" s="3" t="n">
        <v>1.13721675704308</v>
      </c>
      <c r="BG74" s="3" t="n">
        <v>28.003757584836</v>
      </c>
      <c r="BH74" s="3" t="n">
        <v>28.3372279439556</v>
      </c>
      <c r="BI74" s="3" t="n">
        <v>27.4081963101928</v>
      </c>
      <c r="BJ74" s="3" t="n">
        <v>18.2928608583333</v>
      </c>
      <c r="BK74" s="3" t="n">
        <v>18.20580155</v>
      </c>
      <c r="BL74" s="3" t="n">
        <v>18.270320575</v>
      </c>
      <c r="BM74" s="3" t="n">
        <v>3.97299108294242</v>
      </c>
      <c r="BN74" s="3" t="n">
        <v>3.89324076107296</v>
      </c>
      <c r="BO74" s="3" t="n">
        <v>3.91289297060235</v>
      </c>
      <c r="BP74" s="3" t="n">
        <v>72.6773743380598</v>
      </c>
      <c r="BQ74" s="3" t="n">
        <v>70.879565330043</v>
      </c>
      <c r="BR74" s="3" t="n">
        <v>71.4898110964013</v>
      </c>
      <c r="BS74" s="169"/>
      <c r="BT74" s="169"/>
      <c r="BU74" s="169"/>
      <c r="BV74" s="169"/>
      <c r="BW74" s="169"/>
      <c r="BX74" s="169"/>
      <c r="BY74" s="169"/>
    </row>
    <row r="75" customFormat="false" ht="12.75" hidden="true" customHeight="false" outlineLevel="0" collapsed="false">
      <c r="A75" s="3" t="n">
        <v>1</v>
      </c>
      <c r="B75" s="3" t="n">
        <v>1.4</v>
      </c>
      <c r="C75" s="3" t="s">
        <v>229</v>
      </c>
      <c r="D75" s="3" t="s">
        <v>246</v>
      </c>
      <c r="E75" s="3" t="n">
        <v>1870.015715</v>
      </c>
      <c r="F75" s="3" t="n">
        <v>1749.97827749999</v>
      </c>
      <c r="G75" s="3" t="n">
        <v>1529.1941675597</v>
      </c>
      <c r="H75" s="3" t="n">
        <v>120.0374375</v>
      </c>
      <c r="I75" s="3" t="n">
        <v>220.7841099403</v>
      </c>
      <c r="J75" s="3" t="n">
        <v>340.8215474403</v>
      </c>
      <c r="K75" s="3" t="n">
        <v>281.4151025</v>
      </c>
      <c r="L75" s="3" t="n">
        <v>-29.9999999999999</v>
      </c>
      <c r="M75" s="3" t="n">
        <v>487.740923333333</v>
      </c>
      <c r="N75" s="3" t="n">
        <v>0</v>
      </c>
      <c r="O75" s="3" t="n">
        <v>281.656354166666</v>
      </c>
      <c r="P75" s="3" t="n">
        <v>-150</v>
      </c>
      <c r="Q75" s="3" t="n">
        <v>487.629758333333</v>
      </c>
      <c r="R75" s="3" t="n">
        <v>-120.059180647637</v>
      </c>
      <c r="S75" s="3" t="n">
        <v>281.350885833333</v>
      </c>
      <c r="T75" s="3" t="n">
        <v>90</v>
      </c>
      <c r="U75" s="3" t="n">
        <v>487.24225</v>
      </c>
      <c r="V75" s="3" t="n">
        <v>119.98727393033</v>
      </c>
      <c r="W75" s="3" t="n">
        <v>2.51863731666666</v>
      </c>
      <c r="X75" s="3" t="n">
        <v>-44.1502561261916</v>
      </c>
      <c r="Y75" s="3" t="n">
        <v>2.61854856666666</v>
      </c>
      <c r="Z75" s="3" t="n">
        <v>-164.099412964655</v>
      </c>
      <c r="AA75" s="3" t="n">
        <v>2.60543228333333</v>
      </c>
      <c r="AB75" s="3" t="n">
        <v>70.9137646141359</v>
      </c>
      <c r="AC75" s="3" t="n">
        <v>611.2369225</v>
      </c>
      <c r="AD75" s="3" t="n">
        <v>652.07899</v>
      </c>
      <c r="AE75" s="3" t="n">
        <v>606.6998025</v>
      </c>
      <c r="AF75" s="3" t="n">
        <v>120.3322275</v>
      </c>
      <c r="AG75" s="3" t="n">
        <v>-0.411670881620082</v>
      </c>
      <c r="AH75" s="3" t="n">
        <v>120.3439475</v>
      </c>
      <c r="AI75" s="3" t="n">
        <v>119.6642798308</v>
      </c>
      <c r="AJ75" s="3" t="n">
        <v>120.135565</v>
      </c>
      <c r="AK75" s="3" t="n">
        <v>-120.348984418833</v>
      </c>
      <c r="AL75" s="3" t="n">
        <v>5.30769506666666</v>
      </c>
      <c r="AM75" s="3" t="n">
        <v>-20.0423028990747</v>
      </c>
      <c r="AN75" s="3" t="n">
        <v>6.98789254166666</v>
      </c>
      <c r="AO75" s="3" t="n">
        <v>71.4466460111358</v>
      </c>
      <c r="AP75" s="3" t="n">
        <v>7.28470306666666</v>
      </c>
      <c r="AQ75" s="3" t="n">
        <v>-168.128783811707</v>
      </c>
      <c r="AR75" s="3" t="n">
        <v>601.564885833333</v>
      </c>
      <c r="AS75" s="3" t="n">
        <v>560.327723333333</v>
      </c>
      <c r="AT75" s="3" t="n">
        <v>588.085668333333</v>
      </c>
      <c r="AU75" s="3" t="n">
        <v>48.1871726583333</v>
      </c>
      <c r="AV75" s="3" t="n">
        <v>47.77206345</v>
      </c>
      <c r="AW75" s="3" t="n">
        <v>48.1985741333333</v>
      </c>
      <c r="AX75" s="3" t="n">
        <v>411.702767536742</v>
      </c>
      <c r="AY75" s="3" t="n">
        <v>404.640079384193</v>
      </c>
      <c r="AZ75" s="3" t="n">
        <v>414.839740822734</v>
      </c>
      <c r="BA75" s="3" t="n">
        <v>24.15681615</v>
      </c>
      <c r="BB75" s="3" t="n">
        <v>24.0802175083333</v>
      </c>
      <c r="BC75" s="3" t="n">
        <v>24.10639215</v>
      </c>
      <c r="BD75" s="3" t="n">
        <v>1.15799509477104</v>
      </c>
      <c r="BE75" s="3" t="n">
        <v>1.17402696030904</v>
      </c>
      <c r="BF75" s="3" t="n">
        <v>1.13584439011098</v>
      </c>
      <c r="BG75" s="3" t="n">
        <v>27.9734688889245</v>
      </c>
      <c r="BH75" s="3" t="n">
        <v>28.2708174760386</v>
      </c>
      <c r="BI75" s="3" t="n">
        <v>27.3811035985194</v>
      </c>
      <c r="BJ75" s="3" t="n">
        <v>18.2939160083333</v>
      </c>
      <c r="BK75" s="3" t="n">
        <v>18.1982413083333</v>
      </c>
      <c r="BL75" s="3" t="n">
        <v>18.244241525</v>
      </c>
      <c r="BM75" s="3" t="n">
        <v>3.97299334031154</v>
      </c>
      <c r="BN75" s="3" t="n">
        <v>3.87090096700843</v>
      </c>
      <c r="BO75" s="3" t="n">
        <v>3.90594460224885</v>
      </c>
      <c r="BP75" s="3" t="n">
        <v>72.6816069966116</v>
      </c>
      <c r="BQ75" s="3" t="n">
        <v>70.4435861159705</v>
      </c>
      <c r="BR75" s="3" t="n">
        <v>71.2609967399641</v>
      </c>
      <c r="BS75" s="169"/>
      <c r="BT75" s="169"/>
      <c r="BU75" s="169"/>
      <c r="BV75" s="169"/>
      <c r="BW75" s="169"/>
      <c r="BX75" s="169"/>
      <c r="BY75" s="169"/>
    </row>
    <row r="76" customFormat="false" ht="12.75" hidden="true" customHeight="false" outlineLevel="0" collapsed="false">
      <c r="A76" s="3" t="n">
        <v>1</v>
      </c>
      <c r="B76" s="3" t="n">
        <v>1.4</v>
      </c>
      <c r="C76" s="3" t="s">
        <v>230</v>
      </c>
      <c r="D76" s="3" t="s">
        <v>246</v>
      </c>
      <c r="E76" s="3" t="n">
        <v>1870.5569</v>
      </c>
      <c r="F76" s="3" t="n">
        <v>1749.8147125</v>
      </c>
      <c r="G76" s="3" t="n">
        <v>1529.49971053797</v>
      </c>
      <c r="H76" s="3" t="n">
        <v>120.742187499999</v>
      </c>
      <c r="I76" s="3" t="n">
        <v>220.31500196202</v>
      </c>
      <c r="J76" s="3" t="n">
        <v>341.05718946202</v>
      </c>
      <c r="K76" s="3" t="n">
        <v>281.252619166666</v>
      </c>
      <c r="L76" s="3" t="n">
        <v>-29.9999999999999</v>
      </c>
      <c r="M76" s="3" t="n">
        <v>487.390564166666</v>
      </c>
      <c r="N76" s="3" t="n">
        <v>0</v>
      </c>
      <c r="O76" s="3" t="n">
        <v>281.490398333333</v>
      </c>
      <c r="P76" s="3" t="n">
        <v>-150</v>
      </c>
      <c r="Q76" s="3" t="n">
        <v>487.474155833333</v>
      </c>
      <c r="R76" s="3" t="n">
        <v>-120.060622312443</v>
      </c>
      <c r="S76" s="3" t="n">
        <v>281.300905</v>
      </c>
      <c r="T76" s="3" t="n">
        <v>90</v>
      </c>
      <c r="U76" s="3" t="n">
        <v>487.092976666666</v>
      </c>
      <c r="V76" s="3" t="n">
        <v>119.973749438825</v>
      </c>
      <c r="W76" s="3" t="n">
        <v>2.52185195833333</v>
      </c>
      <c r="X76" s="3" t="n">
        <v>-44.1183033369174</v>
      </c>
      <c r="Y76" s="3" t="n">
        <v>2.61740536666666</v>
      </c>
      <c r="Z76" s="3" t="n">
        <v>-164.055949376089</v>
      </c>
      <c r="AA76" s="3" t="n">
        <v>2.603825725</v>
      </c>
      <c r="AB76" s="3" t="n">
        <v>71.0048948676416</v>
      </c>
      <c r="AC76" s="3" t="n">
        <v>611.739244166666</v>
      </c>
      <c r="AD76" s="3" t="n">
        <v>651.932606666666</v>
      </c>
      <c r="AE76" s="3" t="n">
        <v>606.885049166666</v>
      </c>
      <c r="AF76" s="3" t="n">
        <v>120.235055</v>
      </c>
      <c r="AG76" s="3" t="n">
        <v>-0.41177735528241</v>
      </c>
      <c r="AH76" s="3" t="n">
        <v>120.296235</v>
      </c>
      <c r="AI76" s="3" t="n">
        <v>119.645898238282</v>
      </c>
      <c r="AJ76" s="3" t="n">
        <v>120.036925</v>
      </c>
      <c r="AK76" s="3" t="n">
        <v>-120.352863747797</v>
      </c>
      <c r="AL76" s="3" t="n">
        <v>5.31927680833333</v>
      </c>
      <c r="AM76" s="3" t="n">
        <v>-20.0741911378796</v>
      </c>
      <c r="AN76" s="3" t="n">
        <v>6.99462916666666</v>
      </c>
      <c r="AO76" s="3" t="n">
        <v>71.4124775726893</v>
      </c>
      <c r="AP76" s="3" t="n">
        <v>7.27124281666666</v>
      </c>
      <c r="AQ76" s="3" t="n">
        <v>-168.083541694895</v>
      </c>
      <c r="AR76" s="3" t="n">
        <v>602.270951666666</v>
      </c>
      <c r="AS76" s="3" t="n">
        <v>560.472649166666</v>
      </c>
      <c r="AT76" s="3" t="n">
        <v>587.071111666666</v>
      </c>
      <c r="AU76" s="3" t="n">
        <v>48.18601775</v>
      </c>
      <c r="AV76" s="3" t="n">
        <v>47.77200695</v>
      </c>
      <c r="AW76" s="3" t="n">
        <v>48.1990959416666</v>
      </c>
      <c r="AX76" s="3" t="n">
        <v>411.683033252739</v>
      </c>
      <c r="AY76" s="3" t="n">
        <v>404.639122480579</v>
      </c>
      <c r="AZ76" s="3" t="n">
        <v>414.848723155948</v>
      </c>
      <c r="BA76" s="3" t="n">
        <v>24.1554094166666</v>
      </c>
      <c r="BB76" s="3" t="n">
        <v>24.0783322416666</v>
      </c>
      <c r="BC76" s="3" t="n">
        <v>24.104053175</v>
      </c>
      <c r="BD76" s="3" t="n">
        <v>1.16113862698474</v>
      </c>
      <c r="BE76" s="3" t="n">
        <v>1.17875214555387</v>
      </c>
      <c r="BF76" s="3" t="n">
        <v>1.13799124884441</v>
      </c>
      <c r="BG76" s="3" t="n">
        <v>28.0477734316291</v>
      </c>
      <c r="BH76" s="3" t="n">
        <v>28.3823792726554</v>
      </c>
      <c r="BI76" s="3" t="n">
        <v>27.4301957816717</v>
      </c>
      <c r="BJ76" s="3" t="n">
        <v>18.2920673083333</v>
      </c>
      <c r="BK76" s="3" t="n">
        <v>18.200378275</v>
      </c>
      <c r="BL76" s="3" t="n">
        <v>18.2418693166666</v>
      </c>
      <c r="BM76" s="3" t="n">
        <v>3.97138796893413</v>
      </c>
      <c r="BN76" s="3" t="n">
        <v>3.87753147042729</v>
      </c>
      <c r="BO76" s="3" t="n">
        <v>3.9059072917376</v>
      </c>
      <c r="BP76" s="3" t="n">
        <v>72.6448970892173</v>
      </c>
      <c r="BQ76" s="3" t="n">
        <v>70.5725318333688</v>
      </c>
      <c r="BR76" s="3" t="n">
        <v>71.2510542401694</v>
      </c>
      <c r="BS76" s="169"/>
      <c r="BT76" s="169"/>
      <c r="BU76" s="169"/>
      <c r="BV76" s="169"/>
      <c r="BW76" s="169"/>
      <c r="BX76" s="169"/>
      <c r="BY76" s="169"/>
    </row>
    <row r="77" customFormat="false" ht="12.75" hidden="true" customHeight="false" outlineLevel="0" collapsed="false">
      <c r="A77" s="3" t="n">
        <v>1</v>
      </c>
      <c r="B77" s="3" t="n">
        <v>1.4</v>
      </c>
      <c r="C77" s="3" t="s">
        <v>231</v>
      </c>
      <c r="D77" s="3" t="s">
        <v>246</v>
      </c>
      <c r="E77" s="3" t="n">
        <v>1872.007735</v>
      </c>
      <c r="F77" s="3" t="n">
        <v>1750.91069666666</v>
      </c>
      <c r="G77" s="3" t="n">
        <v>1529.63452086259</v>
      </c>
      <c r="H77" s="3" t="n">
        <v>121.097038333333</v>
      </c>
      <c r="I77" s="3" t="n">
        <v>221.27617580407</v>
      </c>
      <c r="J77" s="3" t="n">
        <v>342.373214137403</v>
      </c>
      <c r="K77" s="3" t="n">
        <v>281.269639166666</v>
      </c>
      <c r="L77" s="3" t="n">
        <v>-29.9999999999999</v>
      </c>
      <c r="M77" s="3" t="n">
        <v>487.527504166666</v>
      </c>
      <c r="N77" s="3" t="n">
        <v>0</v>
      </c>
      <c r="O77" s="3" t="n">
        <v>281.574825833333</v>
      </c>
      <c r="P77" s="3" t="n">
        <v>-150</v>
      </c>
      <c r="Q77" s="3" t="n">
        <v>487.522305</v>
      </c>
      <c r="R77" s="3" t="n">
        <v>-120.105852622709</v>
      </c>
      <c r="S77" s="3" t="n">
        <v>281.266629999999</v>
      </c>
      <c r="T77" s="3" t="n">
        <v>90</v>
      </c>
      <c r="U77" s="3" t="n">
        <v>487.024329166666</v>
      </c>
      <c r="V77" s="3" t="n">
        <v>119.927456722988</v>
      </c>
      <c r="W77" s="3" t="n">
        <v>2.52340885833333</v>
      </c>
      <c r="X77" s="3" t="n">
        <v>-44.1278923676701</v>
      </c>
      <c r="Y77" s="3" t="n">
        <v>2.61888335833333</v>
      </c>
      <c r="Z77" s="3" t="n">
        <v>-164.103187969931</v>
      </c>
      <c r="AA77" s="3" t="n">
        <v>2.60388500833333</v>
      </c>
      <c r="AB77" s="3" t="n">
        <v>70.9551184022116</v>
      </c>
      <c r="AC77" s="3" t="n">
        <v>612.246573333333</v>
      </c>
      <c r="AD77" s="3" t="n">
        <v>652.66108</v>
      </c>
      <c r="AE77" s="3" t="n">
        <v>607.100081666666</v>
      </c>
      <c r="AF77" s="3" t="n">
        <v>120.263610833333</v>
      </c>
      <c r="AG77" s="3" t="n">
        <v>-0.414324729854897</v>
      </c>
      <c r="AH77" s="3" t="n">
        <v>120.2712475</v>
      </c>
      <c r="AI77" s="3" t="n">
        <v>119.600831125169</v>
      </c>
      <c r="AJ77" s="3" t="n">
        <v>120.024059166666</v>
      </c>
      <c r="AK77" s="3" t="n">
        <v>-120.39848055789</v>
      </c>
      <c r="AL77" s="3" t="n">
        <v>5.32413040833333</v>
      </c>
      <c r="AM77" s="3" t="n">
        <v>-20.1465566120987</v>
      </c>
      <c r="AN77" s="3" t="n">
        <v>6.995694</v>
      </c>
      <c r="AO77" s="3" t="n">
        <v>71.3907436649215</v>
      </c>
      <c r="AP77" s="3" t="n">
        <v>7.2710243</v>
      </c>
      <c r="AQ77" s="3" t="n">
        <v>-168.082822713305</v>
      </c>
      <c r="AR77" s="3" t="n">
        <v>602.7009725</v>
      </c>
      <c r="AS77" s="3" t="n">
        <v>560.697053333333</v>
      </c>
      <c r="AT77" s="3" t="n">
        <v>587.512670833333</v>
      </c>
      <c r="AU77" s="3" t="n">
        <v>48.1872964666666</v>
      </c>
      <c r="AV77" s="3" t="n">
        <v>47.7717103</v>
      </c>
      <c r="AW77" s="3" t="n">
        <v>48.2006488583333</v>
      </c>
      <c r="AX77" s="3" t="n">
        <v>411.704883118828</v>
      </c>
      <c r="AY77" s="3" t="n">
        <v>404.634096980698</v>
      </c>
      <c r="AZ77" s="3" t="n">
        <v>414.875455439943</v>
      </c>
      <c r="BA77" s="3" t="n">
        <v>24.15329735</v>
      </c>
      <c r="BB77" s="3" t="n">
        <v>24.0756975333333</v>
      </c>
      <c r="BC77" s="3" t="n">
        <v>24.1006871916666</v>
      </c>
      <c r="BD77" s="3" t="n">
        <v>1.16432554814649</v>
      </c>
      <c r="BE77" s="3" t="n">
        <v>1.18261404750453</v>
      </c>
      <c r="BF77" s="3" t="n">
        <v>1.13791143715824</v>
      </c>
      <c r="BG77" s="3" t="n">
        <v>28.1222945276765</v>
      </c>
      <c r="BH77" s="3" t="n">
        <v>28.4722516067124</v>
      </c>
      <c r="BI77" s="3" t="n">
        <v>27.4244416707447</v>
      </c>
      <c r="BJ77" s="3" t="n">
        <v>18.289669425</v>
      </c>
      <c r="BK77" s="3" t="n">
        <v>18.2024531</v>
      </c>
      <c r="BL77" s="3" t="n">
        <v>18.2398728</v>
      </c>
      <c r="BM77" s="3" t="n">
        <v>3.97246945476981</v>
      </c>
      <c r="BN77" s="3" t="n">
        <v>3.87259273461771</v>
      </c>
      <c r="BO77" s="3" t="n">
        <v>3.90656530530011</v>
      </c>
      <c r="BP77" s="3" t="n">
        <v>72.6551539147506</v>
      </c>
      <c r="BQ77" s="3" t="n">
        <v>70.4906872390312</v>
      </c>
      <c r="BR77" s="3" t="n">
        <v>71.2552563642102</v>
      </c>
      <c r="BS77" s="169"/>
      <c r="BT77" s="169"/>
      <c r="BU77" s="169"/>
      <c r="BV77" s="169"/>
      <c r="BW77" s="169"/>
      <c r="BX77" s="169"/>
      <c r="BY77" s="169"/>
    </row>
    <row r="78" customFormat="false" ht="12.75" hidden="true" customHeight="false" outlineLevel="0" collapsed="false">
      <c r="A78" s="3" t="n">
        <v>2</v>
      </c>
      <c r="B78" s="3" t="n">
        <v>2.1</v>
      </c>
      <c r="C78" s="3" t="s">
        <v>232</v>
      </c>
      <c r="D78" s="3" t="s">
        <v>246</v>
      </c>
      <c r="E78" s="3" t="n">
        <v>101.714942666666</v>
      </c>
      <c r="F78" s="3" t="n">
        <v>50.2822654</v>
      </c>
      <c r="G78" s="3" t="n">
        <v>2.81502774235216</v>
      </c>
      <c r="H78" s="3" t="n">
        <v>51.4326772666666</v>
      </c>
      <c r="I78" s="3" t="n">
        <v>47.4672376576478</v>
      </c>
      <c r="J78" s="3" t="n">
        <v>98.8999149243145</v>
      </c>
      <c r="K78" s="3" t="n">
        <v>281.522598333333</v>
      </c>
      <c r="L78" s="3" t="n">
        <v>-29.9999999999999</v>
      </c>
      <c r="M78" s="3" t="n">
        <v>488.15259</v>
      </c>
      <c r="N78" s="3" t="n">
        <v>0</v>
      </c>
      <c r="O78" s="3" t="n">
        <v>281.985005</v>
      </c>
      <c r="P78" s="3" t="n">
        <v>-150</v>
      </c>
      <c r="Q78" s="3" t="n">
        <v>488.131426666666</v>
      </c>
      <c r="R78" s="3" t="n">
        <v>-120.084838618893</v>
      </c>
      <c r="S78" s="3" t="n">
        <v>281.510375833333</v>
      </c>
      <c r="T78" s="3" t="n">
        <v>90</v>
      </c>
      <c r="U78" s="3" t="n">
        <v>487.361396666666</v>
      </c>
      <c r="V78" s="3" t="n">
        <v>119.980268417183</v>
      </c>
      <c r="W78" s="3" t="n">
        <v>0.291797141666666</v>
      </c>
      <c r="X78" s="3" t="n">
        <v>-96.6009601642227</v>
      </c>
      <c r="Y78" s="3" t="n">
        <v>0.358984285833333</v>
      </c>
      <c r="Z78" s="3" t="n">
        <v>146.75484433897</v>
      </c>
      <c r="AA78" s="3" t="n">
        <v>0.34410526</v>
      </c>
      <c r="AB78" s="3" t="n">
        <v>16.633816874009</v>
      </c>
      <c r="AC78" s="3" t="n">
        <v>31.71497625</v>
      </c>
      <c r="AD78" s="3" t="n">
        <v>43.5612571666666</v>
      </c>
      <c r="AE78" s="3" t="n">
        <v>26.43870925</v>
      </c>
      <c r="AF78" s="3" t="n">
        <v>122.705985</v>
      </c>
      <c r="AG78" s="3" t="n">
        <v>-0.00151995778441005</v>
      </c>
      <c r="AH78" s="3" t="n">
        <v>122.600531666666</v>
      </c>
      <c r="AI78" s="3" t="n">
        <v>120.036318154725</v>
      </c>
      <c r="AJ78" s="3" t="n">
        <v>122.735471666666</v>
      </c>
      <c r="AK78" s="3" t="n">
        <v>-120.061346259081</v>
      </c>
      <c r="AL78" s="3" t="n">
        <v>0.329206870833333</v>
      </c>
      <c r="AM78" s="3" t="n">
        <v>-50.7654010086683</v>
      </c>
      <c r="AN78" s="3" t="n">
        <v>0.141043415</v>
      </c>
      <c r="AO78" s="3" t="n">
        <v>49.9016746516653</v>
      </c>
      <c r="AP78" s="3" t="n">
        <v>0.3793750025</v>
      </c>
      <c r="AQ78" s="3" t="n">
        <v>173.82644108187</v>
      </c>
      <c r="AR78" s="3" t="n">
        <v>25.550956</v>
      </c>
      <c r="AS78" s="3" t="n">
        <v>5.8759264</v>
      </c>
      <c r="AT78" s="3" t="n">
        <v>18.855383</v>
      </c>
      <c r="AU78" s="3" t="n">
        <v>48.1921787583333</v>
      </c>
      <c r="AV78" s="3" t="n">
        <v>48.5530381416666</v>
      </c>
      <c r="AW78" s="3" t="n">
        <v>48.1926988333333</v>
      </c>
      <c r="AX78" s="168" t="n">
        <v>2.58054010388322E-016</v>
      </c>
      <c r="AY78" s="168" t="n">
        <v>2.61933056982853E-016</v>
      </c>
      <c r="AZ78" s="168" t="n">
        <v>2.58059580097105E-016</v>
      </c>
      <c r="BA78" s="3" t="n">
        <v>24.2551746</v>
      </c>
      <c r="BB78" s="3" t="n">
        <v>24.2076530166666</v>
      </c>
      <c r="BC78" s="3" t="n">
        <v>24.1994181166666</v>
      </c>
      <c r="BD78" s="3" t="n">
        <v>0.0405200562000274</v>
      </c>
      <c r="BE78" s="3" t="n">
        <v>0.0216375450367436</v>
      </c>
      <c r="BF78" s="3" t="n">
        <v>0.0412823446939614</v>
      </c>
      <c r="BG78" s="3" t="n">
        <v>0.982821087983715</v>
      </c>
      <c r="BH78" s="3" t="n">
        <v>0.523794156640968</v>
      </c>
      <c r="BI78" s="3" t="n">
        <v>0.9990087751727</v>
      </c>
      <c r="BJ78" s="3" t="n">
        <v>18.9718226333333</v>
      </c>
      <c r="BK78" s="3" t="n">
        <v>18.60516635</v>
      </c>
      <c r="BL78" s="3" t="n">
        <v>18.7026323666666</v>
      </c>
      <c r="BM78" s="3" t="n">
        <v>0.00268130678508505</v>
      </c>
      <c r="BN78" s="3" t="n">
        <v>0.00350943100836934</v>
      </c>
      <c r="BO78" s="3" t="n">
        <v>0.0103322836857635</v>
      </c>
      <c r="BP78" s="3" t="n">
        <v>0.0508692697843536</v>
      </c>
      <c r="BQ78" s="3" t="n">
        <v>0.065293551303477</v>
      </c>
      <c r="BR78" s="3" t="n">
        <v>0.193240901466948</v>
      </c>
      <c r="BS78" s="169"/>
      <c r="BT78" s="169"/>
      <c r="BU78" s="169"/>
      <c r="BV78" s="169"/>
      <c r="BW78" s="169"/>
      <c r="BX78" s="169"/>
      <c r="BY78" s="169"/>
    </row>
    <row r="79" customFormat="false" ht="12.75" hidden="true" customHeight="false" outlineLevel="0" collapsed="false">
      <c r="A79" s="3" t="n">
        <v>2</v>
      </c>
      <c r="B79" s="3" t="n">
        <v>2.1</v>
      </c>
      <c r="C79" s="3" t="s">
        <v>233</v>
      </c>
      <c r="D79" s="3" t="s">
        <v>246</v>
      </c>
      <c r="E79" s="3" t="n">
        <v>101.55741275</v>
      </c>
      <c r="F79" s="3" t="n">
        <v>50.3023105916666</v>
      </c>
      <c r="G79" s="3" t="n">
        <v>2.80910938245346</v>
      </c>
      <c r="H79" s="3" t="n">
        <v>51.2551021583333</v>
      </c>
      <c r="I79" s="3" t="n">
        <v>47.4932012092132</v>
      </c>
      <c r="J79" s="3" t="n">
        <v>98.7483033675465</v>
      </c>
      <c r="K79" s="3" t="n">
        <v>281.186420833333</v>
      </c>
      <c r="L79" s="3" t="n">
        <v>-29.9999999999999</v>
      </c>
      <c r="M79" s="3" t="n">
        <v>487.468978333333</v>
      </c>
      <c r="N79" s="3" t="n">
        <v>0</v>
      </c>
      <c r="O79" s="3" t="n">
        <v>281.529126666666</v>
      </c>
      <c r="P79" s="3" t="n">
        <v>-150</v>
      </c>
      <c r="Q79" s="3" t="n">
        <v>487.336928333333</v>
      </c>
      <c r="R79" s="3" t="n">
        <v>-120.070069541249</v>
      </c>
      <c r="S79" s="3" t="n">
        <v>281.110115833333</v>
      </c>
      <c r="T79" s="3" t="n">
        <v>90</v>
      </c>
      <c r="U79" s="3" t="n">
        <v>486.774285833333</v>
      </c>
      <c r="V79" s="3" t="n">
        <v>119.955511193814</v>
      </c>
      <c r="W79" s="3" t="n">
        <v>0.291215153333333</v>
      </c>
      <c r="X79" s="3" t="n">
        <v>-96.5900496860763</v>
      </c>
      <c r="Y79" s="3" t="n">
        <v>0.358097720833333</v>
      </c>
      <c r="Z79" s="3" t="n">
        <v>146.824631258179</v>
      </c>
      <c r="AA79" s="3" t="n">
        <v>0.343569719166666</v>
      </c>
      <c r="AB79" s="3" t="n">
        <v>16.6470197033559</v>
      </c>
      <c r="AC79" s="3" t="n">
        <v>31.6208075833333</v>
      </c>
      <c r="AD79" s="3" t="n">
        <v>43.5062255833333</v>
      </c>
      <c r="AE79" s="3" t="n">
        <v>26.4303795833333</v>
      </c>
      <c r="AF79" s="3" t="n">
        <v>122.533550833333</v>
      </c>
      <c r="AG79" s="3" t="n">
        <v>-0.00137225511259941</v>
      </c>
      <c r="AH79" s="3" t="n">
        <v>122.452234166666</v>
      </c>
      <c r="AI79" s="3" t="n">
        <v>120.014690971813</v>
      </c>
      <c r="AJ79" s="3" t="n">
        <v>122.535200833333</v>
      </c>
      <c r="AK79" s="3" t="n">
        <v>-120.045144655987</v>
      </c>
      <c r="AL79" s="3" t="n">
        <v>0.328921748333333</v>
      </c>
      <c r="AM79" s="3" t="n">
        <v>-50.6663529857745</v>
      </c>
      <c r="AN79" s="3" t="n">
        <v>0.138782885833333</v>
      </c>
      <c r="AO79" s="3" t="n">
        <v>50.2874889496948</v>
      </c>
      <c r="AP79" s="3" t="n">
        <v>0.377407345833333</v>
      </c>
      <c r="AQ79" s="3" t="n">
        <v>174.032676072762</v>
      </c>
      <c r="AR79" s="3" t="n">
        <v>25.5468015</v>
      </c>
      <c r="AS79" s="3" t="n">
        <v>5.88834000833333</v>
      </c>
      <c r="AT79" s="3" t="n">
        <v>18.8671690833333</v>
      </c>
      <c r="AU79" s="3" t="n">
        <v>48.1922236333333</v>
      </c>
      <c r="AV79" s="3" t="n">
        <v>48.5524374166666</v>
      </c>
      <c r="AW79" s="3" t="n">
        <v>48.1921845333333</v>
      </c>
      <c r="AX79" s="168" t="n">
        <v>2.58054490971137E-016</v>
      </c>
      <c r="AY79" s="168" t="n">
        <v>2.61926575459309E-016</v>
      </c>
      <c r="AZ79" s="168" t="n">
        <v>2.58054072246383E-016</v>
      </c>
      <c r="BA79" s="3" t="n">
        <v>24.257816</v>
      </c>
      <c r="BB79" s="3" t="n">
        <v>24.211116125</v>
      </c>
      <c r="BC79" s="3" t="n">
        <v>24.2052293249999</v>
      </c>
      <c r="BD79" s="3" t="n">
        <v>0.0405572521356128</v>
      </c>
      <c r="BE79" s="3" t="n">
        <v>0.0212976606314347</v>
      </c>
      <c r="BF79" s="3" t="n">
        <v>0.0412252667429864</v>
      </c>
      <c r="BG79" s="3" t="n">
        <v>0.983830317227008</v>
      </c>
      <c r="BH79" s="3" t="n">
        <v>0.515640070278965</v>
      </c>
      <c r="BI79" s="3" t="n">
        <v>0.997867063267288</v>
      </c>
      <c r="BJ79" s="3" t="n">
        <v>18.9739472583333</v>
      </c>
      <c r="BK79" s="3" t="n">
        <v>18.6038475833333</v>
      </c>
      <c r="BL79" s="3" t="n">
        <v>18.7022251</v>
      </c>
      <c r="BM79" s="3" t="n">
        <v>0.0026629224447914</v>
      </c>
      <c r="BN79" s="3" t="n">
        <v>0.00363257775721094</v>
      </c>
      <c r="BO79" s="3" t="n">
        <v>0.0103552314661995</v>
      </c>
      <c r="BP79" s="3" t="n">
        <v>0.0505261464137099</v>
      </c>
      <c r="BQ79" s="3" t="n">
        <v>0.0675799151243549</v>
      </c>
      <c r="BR79" s="3" t="n">
        <v>0.193665870142138</v>
      </c>
      <c r="BS79" s="169"/>
      <c r="BT79" s="169"/>
      <c r="BU79" s="169"/>
      <c r="BV79" s="169"/>
      <c r="BW79" s="169"/>
      <c r="BX79" s="169"/>
      <c r="BY79" s="169"/>
    </row>
    <row r="80" customFormat="false" ht="12.75" hidden="true" customHeight="false" outlineLevel="0" collapsed="false">
      <c r="A80" s="3" t="n">
        <v>2</v>
      </c>
      <c r="B80" s="3" t="n">
        <v>2.1</v>
      </c>
      <c r="C80" s="3" t="s">
        <v>234</v>
      </c>
      <c r="D80" s="3" t="s">
        <v>246</v>
      </c>
      <c r="E80" s="3" t="n">
        <v>101.522438916666</v>
      </c>
      <c r="F80" s="3" t="n">
        <v>50.3023852083333</v>
      </c>
      <c r="G80" s="3" t="n">
        <v>2.80728065398567</v>
      </c>
      <c r="H80" s="3" t="n">
        <v>51.2200537083333</v>
      </c>
      <c r="I80" s="3" t="n">
        <v>47.4951045543476</v>
      </c>
      <c r="J80" s="3" t="n">
        <v>98.715158262681</v>
      </c>
      <c r="K80" s="3" t="n">
        <v>281.1228975</v>
      </c>
      <c r="L80" s="3" t="n">
        <v>-29.9999999999999</v>
      </c>
      <c r="M80" s="3" t="n">
        <v>487.4405225</v>
      </c>
      <c r="N80" s="3" t="n">
        <v>0</v>
      </c>
      <c r="O80" s="3" t="n">
        <v>281.501026666666</v>
      </c>
      <c r="P80" s="3" t="n">
        <v>-150</v>
      </c>
      <c r="Q80" s="3" t="n">
        <v>487.1865025</v>
      </c>
      <c r="R80" s="3" t="n">
        <v>-120.10029254813</v>
      </c>
      <c r="S80" s="3" t="n">
        <v>280.976083333333</v>
      </c>
      <c r="T80" s="3" t="n">
        <v>90</v>
      </c>
      <c r="U80" s="3" t="n">
        <v>486.562364166666</v>
      </c>
      <c r="V80" s="3" t="n">
        <v>119.986793562782</v>
      </c>
      <c r="W80" s="3" t="n">
        <v>0.291104921666666</v>
      </c>
      <c r="X80" s="3" t="n">
        <v>-96.5768317494019</v>
      </c>
      <c r="Y80" s="3" t="n">
        <v>0.357990914999999</v>
      </c>
      <c r="Z80" s="3" t="n">
        <v>146.802441417773</v>
      </c>
      <c r="AA80" s="3" t="n">
        <v>0.343414245</v>
      </c>
      <c r="AB80" s="3" t="n">
        <v>16.6735994241753</v>
      </c>
      <c r="AC80" s="3" t="n">
        <v>31.6122321666666</v>
      </c>
      <c r="AD80" s="3" t="n">
        <v>43.49754225</v>
      </c>
      <c r="AE80" s="3" t="n">
        <v>26.4126645</v>
      </c>
      <c r="AF80" s="3" t="n">
        <v>122.526545</v>
      </c>
      <c r="AG80" s="168" t="n">
        <v>-0.000589462998533463</v>
      </c>
      <c r="AH80" s="3" t="n">
        <v>122.399185</v>
      </c>
      <c r="AI80" s="3" t="n">
        <v>120.042633543856</v>
      </c>
      <c r="AJ80" s="3" t="n">
        <v>122.497456666666</v>
      </c>
      <c r="AK80" s="3" t="n">
        <v>-120.068055248644</v>
      </c>
      <c r="AL80" s="3" t="n">
        <v>0.328782845</v>
      </c>
      <c r="AM80" s="3" t="n">
        <v>-50.6477407989062</v>
      </c>
      <c r="AN80" s="3" t="n">
        <v>0.138530021666666</v>
      </c>
      <c r="AO80" s="3" t="n">
        <v>50.3800380861184</v>
      </c>
      <c r="AP80" s="3" t="n">
        <v>0.377756058333333</v>
      </c>
      <c r="AQ80" s="3" t="n">
        <v>173.991392992636</v>
      </c>
      <c r="AR80" s="3" t="n">
        <v>25.5442485833333</v>
      </c>
      <c r="AS80" s="3" t="n">
        <v>5.892926875</v>
      </c>
      <c r="AT80" s="3" t="n">
        <v>18.8652097499999</v>
      </c>
      <c r="AU80" s="3" t="n">
        <v>48.1923772833333</v>
      </c>
      <c r="AV80" s="3" t="n">
        <v>48.55264015</v>
      </c>
      <c r="AW80" s="3" t="n">
        <v>48.1910969583333</v>
      </c>
      <c r="AX80" s="168" t="n">
        <v>2.58056136470449E-016</v>
      </c>
      <c r="AY80" s="168" t="n">
        <v>2.61928762926881E-016</v>
      </c>
      <c r="AZ80" s="168" t="n">
        <v>2.58042425119712E-016</v>
      </c>
      <c r="BA80" s="3" t="n">
        <v>24.2597910083333</v>
      </c>
      <c r="BB80" s="3" t="n">
        <v>24.21365785</v>
      </c>
      <c r="BC80" s="3" t="n">
        <v>24.2098482333333</v>
      </c>
      <c r="BD80" s="3" t="n">
        <v>0.0402357452602547</v>
      </c>
      <c r="BE80" s="3" t="n">
        <v>0.0214908793467828</v>
      </c>
      <c r="BF80" s="3" t="n">
        <v>0.0413376587695086</v>
      </c>
      <c r="BG80" s="3" t="n">
        <v>0.976110748801169</v>
      </c>
      <c r="BH80" s="3" t="n">
        <v>0.520372775519751</v>
      </c>
      <c r="BI80" s="3" t="n">
        <v>1.00077846086731</v>
      </c>
      <c r="BJ80" s="3" t="n">
        <v>18.9755948833333</v>
      </c>
      <c r="BK80" s="3" t="n">
        <v>18.6027907666666</v>
      </c>
      <c r="BL80" s="3" t="n">
        <v>18.7018463583333</v>
      </c>
      <c r="BM80" s="3" t="n">
        <v>0.00268056419325634</v>
      </c>
      <c r="BN80" s="3" t="n">
        <v>0.00353405531684048</v>
      </c>
      <c r="BO80" s="3" t="n">
        <v>0.0103417640102894</v>
      </c>
      <c r="BP80" s="3" t="n">
        <v>0.0508652936368862</v>
      </c>
      <c r="BQ80" s="3" t="n">
        <v>0.0657432929029688</v>
      </c>
      <c r="BR80" s="3" t="n">
        <v>0.193410082257584</v>
      </c>
      <c r="BS80" s="169"/>
      <c r="BT80" s="169"/>
      <c r="BU80" s="169"/>
      <c r="BV80" s="169"/>
      <c r="BW80" s="169"/>
      <c r="BX80" s="169"/>
      <c r="BY80" s="169"/>
    </row>
    <row r="81" customFormat="false" ht="12.75" hidden="true" customHeight="false" outlineLevel="0" collapsed="false">
      <c r="A81" s="3" t="n">
        <v>2</v>
      </c>
      <c r="B81" s="3" t="n">
        <v>2.2</v>
      </c>
      <c r="C81" s="3" t="s">
        <v>235</v>
      </c>
      <c r="D81" s="3" t="s">
        <v>246</v>
      </c>
      <c r="E81" s="3" t="n">
        <v>1772.93157083333</v>
      </c>
      <c r="F81" s="3" t="n">
        <v>1652.66972666666</v>
      </c>
      <c r="G81" s="3" t="n">
        <v>1434.27126729675</v>
      </c>
      <c r="H81" s="3" t="n">
        <v>120.261844166666</v>
      </c>
      <c r="I81" s="3" t="n">
        <v>218.39845936991</v>
      </c>
      <c r="J81" s="3" t="n">
        <v>338.660303536576</v>
      </c>
      <c r="K81" s="3" t="n">
        <v>281.445146666666</v>
      </c>
      <c r="L81" s="3" t="n">
        <v>-29.9999999999999</v>
      </c>
      <c r="M81" s="3" t="n">
        <v>487.7194875</v>
      </c>
      <c r="N81" s="3" t="n">
        <v>0</v>
      </c>
      <c r="O81" s="3" t="n">
        <v>281.582923333333</v>
      </c>
      <c r="P81" s="3" t="n">
        <v>-150</v>
      </c>
      <c r="Q81" s="3" t="n">
        <v>487.470170833333</v>
      </c>
      <c r="R81" s="3" t="n">
        <v>-120.077729032657</v>
      </c>
      <c r="S81" s="3" t="n">
        <v>281.301133333333</v>
      </c>
      <c r="T81" s="3" t="n">
        <v>90</v>
      </c>
      <c r="U81" s="3" t="n">
        <v>487.260825</v>
      </c>
      <c r="V81" s="3" t="n">
        <v>120.009843640662</v>
      </c>
      <c r="W81" s="3" t="n">
        <v>1.86298138333333</v>
      </c>
      <c r="X81" s="3" t="n">
        <v>-19.3413663317406</v>
      </c>
      <c r="Y81" s="3" t="n">
        <v>3.29217026666666</v>
      </c>
      <c r="Z81" s="3" t="n">
        <v>-162.248190534884</v>
      </c>
      <c r="AA81" s="3" t="n">
        <v>2.45515533333333</v>
      </c>
      <c r="AB81" s="3" t="n">
        <v>52.6902015323259</v>
      </c>
      <c r="AC81" s="3" t="n">
        <v>480.333286666666</v>
      </c>
      <c r="AD81" s="3" t="n">
        <v>833.6585875</v>
      </c>
      <c r="AE81" s="3" t="n">
        <v>458.939696666666</v>
      </c>
      <c r="AF81" s="3" t="n">
        <v>119.594409166666</v>
      </c>
      <c r="AG81" s="3" t="n">
        <v>-0.48127863748779</v>
      </c>
      <c r="AH81" s="3" t="n">
        <v>122.290755</v>
      </c>
      <c r="AI81" s="3" t="n">
        <v>119.936707911018</v>
      </c>
      <c r="AJ81" s="3" t="n">
        <v>119.434495833333</v>
      </c>
      <c r="AK81" s="3" t="n">
        <v>-120.525800813917</v>
      </c>
      <c r="AL81" s="3" t="n">
        <v>6.83385190833333</v>
      </c>
      <c r="AM81" s="3" t="n">
        <v>-15.9399040248403</v>
      </c>
      <c r="AN81" s="3" t="n">
        <v>1.88472215833333</v>
      </c>
      <c r="AO81" s="3" t="n">
        <v>61.7451837991014</v>
      </c>
      <c r="AP81" s="3" t="n">
        <v>9.05748948333333</v>
      </c>
      <c r="AQ81" s="3" t="n">
        <v>-167.112013070846</v>
      </c>
      <c r="AR81" s="3" t="n">
        <v>787.7228</v>
      </c>
      <c r="AS81" s="3" t="n">
        <v>121.483573333333</v>
      </c>
      <c r="AT81" s="3" t="n">
        <v>743.463353333333</v>
      </c>
      <c r="AU81" s="3" t="n">
        <v>48.1805114583333</v>
      </c>
      <c r="AV81" s="3" t="n">
        <v>48.5533598166666</v>
      </c>
      <c r="AW81" s="3" t="n">
        <v>48.1983157</v>
      </c>
      <c r="AX81" s="3" t="n">
        <v>580.340421100441</v>
      </c>
      <c r="AY81" s="168" t="n">
        <v>2.61936527751696E-016</v>
      </c>
      <c r="AZ81" s="3" t="n">
        <v>559.777743714115</v>
      </c>
      <c r="BA81" s="3" t="n">
        <v>24.18932205</v>
      </c>
      <c r="BB81" s="3" t="n">
        <v>24.1147078416666</v>
      </c>
      <c r="BC81" s="3" t="n">
        <v>24.1650494166666</v>
      </c>
      <c r="BD81" s="3" t="n">
        <v>1.09987031984124</v>
      </c>
      <c r="BE81" s="3" t="n">
        <v>1.13031675457195</v>
      </c>
      <c r="BF81" s="3" t="n">
        <v>1.07394998847164</v>
      </c>
      <c r="BG81" s="3" t="n">
        <v>26.6050945833333</v>
      </c>
      <c r="BH81" s="3" t="n">
        <v>27.2572360929484</v>
      </c>
      <c r="BI81" s="3" t="n">
        <v>25.9520243834694</v>
      </c>
      <c r="BJ81" s="3" t="n">
        <v>18.30236025</v>
      </c>
      <c r="BK81" s="3" t="n">
        <v>18.17620705</v>
      </c>
      <c r="BL81" s="3" t="n">
        <v>18.2277285916666</v>
      </c>
      <c r="BM81" s="3" t="n">
        <v>3.97162789548209</v>
      </c>
      <c r="BN81" s="3" t="n">
        <v>3.87792883764291</v>
      </c>
      <c r="BO81" s="3" t="n">
        <v>3.90408187224755</v>
      </c>
      <c r="BP81" s="3" t="n">
        <v>72.6901645999575</v>
      </c>
      <c r="BQ81" s="3" t="n">
        <v>70.4860372726885</v>
      </c>
      <c r="BR81" s="3" t="n">
        <v>71.1625455498028</v>
      </c>
      <c r="BS81" s="169"/>
      <c r="BT81" s="169"/>
      <c r="BU81" s="169"/>
      <c r="BV81" s="169"/>
      <c r="BW81" s="169"/>
      <c r="BX81" s="169"/>
      <c r="BY81" s="169"/>
    </row>
    <row r="82" customFormat="false" ht="12.75" hidden="true" customHeight="false" outlineLevel="0" collapsed="false">
      <c r="A82" s="3" t="n">
        <v>2</v>
      </c>
      <c r="B82" s="3" t="n">
        <v>2.2</v>
      </c>
      <c r="C82" s="3" t="s">
        <v>236</v>
      </c>
      <c r="D82" s="3" t="s">
        <v>246</v>
      </c>
      <c r="E82" s="3" t="n">
        <v>1771.5170775</v>
      </c>
      <c r="F82" s="3" t="n">
        <v>1651.06295666666</v>
      </c>
      <c r="G82" s="3" t="n">
        <v>1436.51044826709</v>
      </c>
      <c r="H82" s="3" t="n">
        <v>120.454120833333</v>
      </c>
      <c r="I82" s="3" t="n">
        <v>214.552508399573</v>
      </c>
      <c r="J82" s="3" t="n">
        <v>335.006629232906</v>
      </c>
      <c r="K82" s="3" t="n">
        <v>281.365608333333</v>
      </c>
      <c r="L82" s="3" t="n">
        <v>-29.9999999999999</v>
      </c>
      <c r="M82" s="3" t="n">
        <v>487.675714999999</v>
      </c>
      <c r="N82" s="3" t="n">
        <v>0</v>
      </c>
      <c r="O82" s="3" t="n">
        <v>281.575721666666</v>
      </c>
      <c r="P82" s="3" t="n">
        <v>-150</v>
      </c>
      <c r="Q82" s="3" t="n">
        <v>487.395045833333</v>
      </c>
      <c r="R82" s="3" t="n">
        <v>-120.014434764969</v>
      </c>
      <c r="S82" s="3" t="n">
        <v>281.203449166666</v>
      </c>
      <c r="T82" s="3" t="n">
        <v>90</v>
      </c>
      <c r="U82" s="3" t="n">
        <v>487.060529166666</v>
      </c>
      <c r="V82" s="3" t="n">
        <v>120.017736433802</v>
      </c>
      <c r="W82" s="3" t="n">
        <v>1.86352072499999</v>
      </c>
      <c r="X82" s="3" t="n">
        <v>-19.4307750615546</v>
      </c>
      <c r="Y82" s="3" t="n">
        <v>3.28504253333333</v>
      </c>
      <c r="Z82" s="3" t="n">
        <v>-162.052797571916</v>
      </c>
      <c r="AA82" s="3" t="n">
        <v>2.44781164166666</v>
      </c>
      <c r="AB82" s="3" t="n">
        <v>52.8059302037032</v>
      </c>
      <c r="AC82" s="3" t="n">
        <v>479.856068333333</v>
      </c>
      <c r="AD82" s="3" t="n">
        <v>832.925855833333</v>
      </c>
      <c r="AE82" s="3" t="n">
        <v>458.735153333333</v>
      </c>
      <c r="AF82" s="3" t="n">
        <v>119.570146666666</v>
      </c>
      <c r="AG82" s="3" t="n">
        <v>-0.48902344856873</v>
      </c>
      <c r="AH82" s="3" t="n">
        <v>122.236155</v>
      </c>
      <c r="AI82" s="3" t="n">
        <v>119.938017015501</v>
      </c>
      <c r="AJ82" s="3" t="n">
        <v>119.382156666666</v>
      </c>
      <c r="AK82" s="3" t="n">
        <v>-120.471491399523</v>
      </c>
      <c r="AL82" s="3" t="n">
        <v>6.83261916666666</v>
      </c>
      <c r="AM82" s="3" t="n">
        <v>-16.1695891604421</v>
      </c>
      <c r="AN82" s="3" t="n">
        <v>1.89035635833333</v>
      </c>
      <c r="AO82" s="3" t="n">
        <v>61.8189616998218</v>
      </c>
      <c r="AP82" s="3" t="n">
        <v>9.02739519999999</v>
      </c>
      <c r="AQ82" s="3" t="n">
        <v>-166.927206817121</v>
      </c>
      <c r="AR82" s="3" t="n">
        <v>786.572005</v>
      </c>
      <c r="AS82" s="3" t="n">
        <v>122.040815</v>
      </c>
      <c r="AT82" s="3" t="n">
        <v>742.450136666666</v>
      </c>
      <c r="AU82" s="3" t="n">
        <v>48.1812368833333</v>
      </c>
      <c r="AV82" s="3" t="n">
        <v>48.5528454</v>
      </c>
      <c r="AW82" s="3" t="n">
        <v>48.1990427</v>
      </c>
      <c r="AX82" s="3" t="n">
        <v>580.357896909706</v>
      </c>
      <c r="AY82" s="168" t="n">
        <v>2.61930977531701E-016</v>
      </c>
      <c r="AZ82" s="3" t="n">
        <v>559.794630657168</v>
      </c>
      <c r="BA82" s="3" t="n">
        <v>24.1781973499999</v>
      </c>
      <c r="BB82" s="3" t="n">
        <v>24.103145875</v>
      </c>
      <c r="BC82" s="3" t="n">
        <v>24.149533475</v>
      </c>
      <c r="BD82" s="3" t="n">
        <v>1.12918724125843</v>
      </c>
      <c r="BE82" s="3" t="n">
        <v>1.15328201405223</v>
      </c>
      <c r="BF82" s="3" t="n">
        <v>1.11080755935432</v>
      </c>
      <c r="BG82" s="3" t="n">
        <v>27.3016974593353</v>
      </c>
      <c r="BH82" s="3" t="n">
        <v>27.7977112535791</v>
      </c>
      <c r="BI82" s="3" t="n">
        <v>26.8254691290073</v>
      </c>
      <c r="BJ82" s="3" t="n">
        <v>18.301841</v>
      </c>
      <c r="BK82" s="3" t="n">
        <v>18.1809098333333</v>
      </c>
      <c r="BL82" s="3" t="n">
        <v>18.2399690916666</v>
      </c>
      <c r="BM82" s="3" t="n">
        <v>3.97262204897694</v>
      </c>
      <c r="BN82" s="3" t="n">
        <v>3.8786828007049</v>
      </c>
      <c r="BO82" s="3" t="n">
        <v>3.90399537048241</v>
      </c>
      <c r="BP82" s="3" t="n">
        <v>72.7062977048982</v>
      </c>
      <c r="BQ82" s="3" t="n">
        <v>70.5179824747539</v>
      </c>
      <c r="BR82" s="3" t="n">
        <v>71.2087626786439</v>
      </c>
      <c r="BS82" s="169"/>
      <c r="BT82" s="169"/>
      <c r="BU82" s="169"/>
      <c r="BV82" s="169"/>
      <c r="BW82" s="169"/>
      <c r="BX82" s="169"/>
      <c r="BY82" s="169"/>
    </row>
    <row r="83" customFormat="false" ht="12.75" hidden="true" customHeight="false" outlineLevel="0" collapsed="false">
      <c r="A83" s="3" t="n">
        <v>2</v>
      </c>
      <c r="B83" s="3" t="n">
        <v>2.2</v>
      </c>
      <c r="C83" s="3" t="s">
        <v>237</v>
      </c>
      <c r="D83" s="3" t="s">
        <v>246</v>
      </c>
      <c r="E83" s="3" t="n">
        <v>1771.86557916666</v>
      </c>
      <c r="F83" s="3" t="n">
        <v>1649.59014833333</v>
      </c>
      <c r="G83" s="3" t="n">
        <v>1438.30347711437</v>
      </c>
      <c r="H83" s="3" t="n">
        <v>122.275430833333</v>
      </c>
      <c r="I83" s="3" t="n">
        <v>211.286671218955</v>
      </c>
      <c r="J83" s="3" t="n">
        <v>333.562102052288</v>
      </c>
      <c r="K83" s="3" t="n">
        <v>281.507646666666</v>
      </c>
      <c r="L83" s="3" t="n">
        <v>-29.9999999999999</v>
      </c>
      <c r="M83" s="3" t="n">
        <v>487.854976666666</v>
      </c>
      <c r="N83" s="3" t="n">
        <v>0</v>
      </c>
      <c r="O83" s="3" t="n">
        <v>281.743729166666</v>
      </c>
      <c r="P83" s="3" t="n">
        <v>-150</v>
      </c>
      <c r="Q83" s="3" t="n">
        <v>487.864611666666</v>
      </c>
      <c r="R83" s="3" t="n">
        <v>-120.026187408002</v>
      </c>
      <c r="S83" s="3" t="n">
        <v>281.513225</v>
      </c>
      <c r="T83" s="3" t="n">
        <v>90</v>
      </c>
      <c r="U83" s="3" t="n">
        <v>487.485643333333</v>
      </c>
      <c r="V83" s="3" t="n">
        <v>119.984927586207</v>
      </c>
      <c r="W83" s="3" t="n">
        <v>1.85929405</v>
      </c>
      <c r="X83" s="3" t="n">
        <v>-19.7646681833451</v>
      </c>
      <c r="Y83" s="3" t="n">
        <v>3.2984489</v>
      </c>
      <c r="Z83" s="3" t="n">
        <v>-162.481727395284</v>
      </c>
      <c r="AA83" s="3" t="n">
        <v>2.46574469166666</v>
      </c>
      <c r="AB83" s="3" t="n">
        <v>52.5102341707511</v>
      </c>
      <c r="AC83" s="3" t="n">
        <v>479.463024166666</v>
      </c>
      <c r="AD83" s="3" t="n">
        <v>832.850279166666</v>
      </c>
      <c r="AE83" s="3" t="n">
        <v>459.552275833333</v>
      </c>
      <c r="AF83" s="3" t="n">
        <v>119.594315</v>
      </c>
      <c r="AG83" s="3" t="n">
        <v>-0.483664370477256</v>
      </c>
      <c r="AH83" s="3" t="n">
        <v>122.3402675</v>
      </c>
      <c r="AI83" s="3" t="n">
        <v>119.907685188072</v>
      </c>
      <c r="AJ83" s="3" t="n">
        <v>119.431159166666</v>
      </c>
      <c r="AK83" s="3" t="n">
        <v>-120.478958683064</v>
      </c>
      <c r="AL83" s="3" t="n">
        <v>6.82301043333333</v>
      </c>
      <c r="AM83" s="3" t="n">
        <v>-16.2647333770021</v>
      </c>
      <c r="AN83" s="3" t="n">
        <v>1.8935676</v>
      </c>
      <c r="AO83" s="3" t="n">
        <v>61.8100122910096</v>
      </c>
      <c r="AP83" s="3" t="n">
        <v>9.096535275</v>
      </c>
      <c r="AQ83" s="3" t="n">
        <v>-167.406889648204</v>
      </c>
      <c r="AR83" s="3" t="n">
        <v>785.2363625</v>
      </c>
      <c r="AS83" s="3" t="n">
        <v>122.425705833333</v>
      </c>
      <c r="AT83" s="3" t="n">
        <v>741.92808</v>
      </c>
      <c r="AU83" s="3" t="n">
        <v>48.1814819916666</v>
      </c>
      <c r="AV83" s="3" t="n">
        <v>48.5547140666666</v>
      </c>
      <c r="AW83" s="3" t="n">
        <v>48.1987552833333</v>
      </c>
      <c r="AX83" s="3" t="n">
        <v>580.363801734007</v>
      </c>
      <c r="AY83" s="168" t="n">
        <v>2.61951139793901E-016</v>
      </c>
      <c r="AZ83" s="3" t="n">
        <v>559.787954431788</v>
      </c>
      <c r="BA83" s="3" t="n">
        <v>24.1646863166666</v>
      </c>
      <c r="BB83" s="3" t="n">
        <v>24.088287075</v>
      </c>
      <c r="BC83" s="3" t="n">
        <v>24.13019295</v>
      </c>
      <c r="BD83" s="3" t="n">
        <v>1.154651107209</v>
      </c>
      <c r="BE83" s="3" t="n">
        <v>1.18326587305931</v>
      </c>
      <c r="BF83" s="3" t="n">
        <v>1.13517994090833</v>
      </c>
      <c r="BG83" s="3" t="n">
        <v>27.9017768084838</v>
      </c>
      <c r="BH83" s="3" t="n">
        <v>28.5028426192356</v>
      </c>
      <c r="BI83" s="3" t="n">
        <v>27.3921040313319</v>
      </c>
      <c r="BJ83" s="3" t="n">
        <v>18.2924163333333</v>
      </c>
      <c r="BK83" s="3" t="n">
        <v>18.18285</v>
      </c>
      <c r="BL83" s="3" t="n">
        <v>18.2368118</v>
      </c>
      <c r="BM83" s="3" t="n">
        <v>3.97097509079978</v>
      </c>
      <c r="BN83" s="3" t="n">
        <v>3.87761850183729</v>
      </c>
      <c r="BO83" s="3" t="n">
        <v>3.90474604213566</v>
      </c>
      <c r="BP83" s="3" t="n">
        <v>72.6387307282654</v>
      </c>
      <c r="BQ83" s="3" t="n">
        <v>70.5061484155892</v>
      </c>
      <c r="BR83" s="3" t="n">
        <v>71.2101183456764</v>
      </c>
      <c r="BS83" s="169"/>
      <c r="BT83" s="169"/>
      <c r="BU83" s="169"/>
      <c r="BV83" s="169"/>
      <c r="BW83" s="169"/>
      <c r="BX83" s="169"/>
      <c r="BY83" s="169"/>
    </row>
    <row r="84" customFormat="false" ht="12.75" hidden="true" customHeight="false" outlineLevel="0" collapsed="false">
      <c r="A84" s="3" t="n">
        <v>2</v>
      </c>
      <c r="B84" s="3" t="n">
        <v>2.3</v>
      </c>
      <c r="C84" s="3" t="s">
        <v>238</v>
      </c>
      <c r="D84" s="3" t="s">
        <v>246</v>
      </c>
      <c r="E84" s="3" t="n">
        <v>1838.180685</v>
      </c>
      <c r="F84" s="3" t="n">
        <v>1708.91257</v>
      </c>
      <c r="G84" s="3" t="n">
        <v>1493.1103414094</v>
      </c>
      <c r="H84" s="3" t="n">
        <v>129.268115</v>
      </c>
      <c r="I84" s="3" t="n">
        <v>215.802228590591</v>
      </c>
      <c r="J84" s="3" t="n">
        <v>345.070343590591</v>
      </c>
      <c r="K84" s="3" t="n">
        <v>281.5664675</v>
      </c>
      <c r="L84" s="3" t="n">
        <v>-29.9999999999999</v>
      </c>
      <c r="M84" s="3" t="n">
        <v>487.889708333333</v>
      </c>
      <c r="N84" s="3" t="n">
        <v>0</v>
      </c>
      <c r="O84" s="3" t="n">
        <v>281.705510833333</v>
      </c>
      <c r="P84" s="3" t="n">
        <v>-150</v>
      </c>
      <c r="Q84" s="3" t="n">
        <v>487.764540833333</v>
      </c>
      <c r="R84" s="3" t="n">
        <v>-120.050716934911</v>
      </c>
      <c r="S84" s="3" t="n">
        <v>281.4941675</v>
      </c>
      <c r="T84" s="3" t="n">
        <v>90</v>
      </c>
      <c r="U84" s="3" t="n">
        <v>487.553890833333</v>
      </c>
      <c r="V84" s="3" t="n">
        <v>119.964797566202</v>
      </c>
      <c r="W84" s="3" t="n">
        <v>2.27729309166666</v>
      </c>
      <c r="X84" s="3" t="n">
        <v>-52.3557430853051</v>
      </c>
      <c r="Y84" s="3" t="n">
        <v>2.74885360833333</v>
      </c>
      <c r="Z84" s="3" t="n">
        <v>-162.581204369611</v>
      </c>
      <c r="AA84" s="3" t="n">
        <v>2.9726996</v>
      </c>
      <c r="AB84" s="3" t="n">
        <v>69.4180461185522</v>
      </c>
      <c r="AC84" s="3" t="n">
        <v>509.622129166666</v>
      </c>
      <c r="AD84" s="3" t="n">
        <v>635.070753333333</v>
      </c>
      <c r="AE84" s="3" t="n">
        <v>693.4878025</v>
      </c>
      <c r="AF84" s="3" t="n">
        <v>121.254983333333</v>
      </c>
      <c r="AG84" s="3" t="n">
        <v>-0.276681853245307</v>
      </c>
      <c r="AH84" s="3" t="n">
        <v>120.49151</v>
      </c>
      <c r="AI84" s="3" t="n">
        <v>119.612198493771</v>
      </c>
      <c r="AJ84" s="3" t="n">
        <v>119.424315833333</v>
      </c>
      <c r="AK84" s="3" t="n">
        <v>-120.441002181712</v>
      </c>
      <c r="AL84" s="3" t="n">
        <v>3.755161575</v>
      </c>
      <c r="AM84" s="3" t="n">
        <v>-27.0009491934656</v>
      </c>
      <c r="AN84" s="3" t="n">
        <v>6.99279303333333</v>
      </c>
      <c r="AO84" s="3" t="n">
        <v>71.2602058730567</v>
      </c>
      <c r="AP84" s="3" t="n">
        <v>9.12456555833333</v>
      </c>
      <c r="AQ84" s="3" t="n">
        <v>-167.50455634624</v>
      </c>
      <c r="AR84" s="3" t="n">
        <v>406.693696666666</v>
      </c>
      <c r="AS84" s="3" t="n">
        <v>559.9332825</v>
      </c>
      <c r="AT84" s="3" t="n">
        <v>742.285590833333</v>
      </c>
      <c r="AU84" s="3" t="n">
        <v>48.1906449333333</v>
      </c>
      <c r="AV84" s="3" t="n">
        <v>47.7675800166666</v>
      </c>
      <c r="AW84" s="3" t="n">
        <v>48.200286575</v>
      </c>
      <c r="AX84" s="3" t="n">
        <v>231.308591546768</v>
      </c>
      <c r="AY84" s="3" t="n">
        <v>404.564132962762</v>
      </c>
      <c r="AZ84" s="3" t="n">
        <v>559.82352443137</v>
      </c>
      <c r="BA84" s="3" t="n">
        <v>24.1643730583333</v>
      </c>
      <c r="BB84" s="3" t="n">
        <v>24.0894936083333</v>
      </c>
      <c r="BC84" s="3" t="n">
        <v>24.124792225</v>
      </c>
      <c r="BD84" s="3" t="n">
        <v>1.14122236262631</v>
      </c>
      <c r="BE84" s="3" t="n">
        <v>1.16890040545107</v>
      </c>
      <c r="BF84" s="3" t="n">
        <v>1.12190812616825</v>
      </c>
      <c r="BG84" s="3" t="n">
        <v>27.5769145990068</v>
      </c>
      <c r="BH84" s="3" t="n">
        <v>28.1582095000729</v>
      </c>
      <c r="BI84" s="3" t="n">
        <v>27.0657899404961</v>
      </c>
      <c r="BJ84" s="3" t="n">
        <v>18.295736475</v>
      </c>
      <c r="BK84" s="3" t="n">
        <v>18.1849870166666</v>
      </c>
      <c r="BL84" s="3" t="n">
        <v>18.2445216583333</v>
      </c>
      <c r="BM84" s="3" t="n">
        <v>3.97169083349065</v>
      </c>
      <c r="BN84" s="3" t="n">
        <v>3.8810592364385</v>
      </c>
      <c r="BO84" s="3" t="n">
        <v>3.91192282002602</v>
      </c>
      <c r="BP84" s="3" t="n">
        <v>72.6650090802154</v>
      </c>
      <c r="BQ84" s="3" t="n">
        <v>70.5770065644619</v>
      </c>
      <c r="BR84" s="3" t="n">
        <v>71.3711627842543</v>
      </c>
      <c r="BS84" s="169"/>
      <c r="BT84" s="169"/>
      <c r="BU84" s="169"/>
      <c r="BV84" s="169"/>
      <c r="BW84" s="169"/>
      <c r="BX84" s="169"/>
      <c r="BY84" s="169"/>
    </row>
    <row r="85" customFormat="false" ht="12.75" hidden="true" customHeight="false" outlineLevel="0" collapsed="false">
      <c r="A85" s="3" t="n">
        <v>2</v>
      </c>
      <c r="B85" s="3" t="n">
        <v>2.3</v>
      </c>
      <c r="C85" s="3" t="s">
        <v>239</v>
      </c>
      <c r="D85" s="3" t="s">
        <v>246</v>
      </c>
      <c r="E85" s="3" t="n">
        <v>1839.43284</v>
      </c>
      <c r="F85" s="3" t="n">
        <v>1709.53515916666</v>
      </c>
      <c r="G85" s="3" t="n">
        <v>1493.5245859264</v>
      </c>
      <c r="H85" s="3" t="n">
        <v>129.897680833333</v>
      </c>
      <c r="I85" s="3" t="n">
        <v>216.010573240259</v>
      </c>
      <c r="J85" s="3" t="n">
        <v>345.908254073592</v>
      </c>
      <c r="K85" s="3" t="n">
        <v>281.397670833333</v>
      </c>
      <c r="L85" s="3" t="n">
        <v>-29.9999999999999</v>
      </c>
      <c r="M85" s="3" t="n">
        <v>487.776760833333</v>
      </c>
      <c r="N85" s="3" t="n">
        <v>0</v>
      </c>
      <c r="O85" s="3" t="n">
        <v>281.726926666666</v>
      </c>
      <c r="P85" s="3" t="n">
        <v>-150</v>
      </c>
      <c r="Q85" s="3" t="n">
        <v>487.77247</v>
      </c>
      <c r="R85" s="3" t="n">
        <v>-120.067155577551</v>
      </c>
      <c r="S85" s="3" t="n">
        <v>281.395184999999</v>
      </c>
      <c r="T85" s="3" t="n">
        <v>90</v>
      </c>
      <c r="U85" s="3" t="n">
        <v>487.232363333333</v>
      </c>
      <c r="V85" s="3" t="n">
        <v>119.995585665538</v>
      </c>
      <c r="W85" s="3" t="n">
        <v>2.280730175</v>
      </c>
      <c r="X85" s="3" t="n">
        <v>-52.4191693023839</v>
      </c>
      <c r="Y85" s="3" t="n">
        <v>2.74723976666666</v>
      </c>
      <c r="Z85" s="3" t="n">
        <v>-162.55859438854</v>
      </c>
      <c r="AA85" s="3" t="n">
        <v>2.97383814166666</v>
      </c>
      <c r="AB85" s="3" t="n">
        <v>69.5189260890188</v>
      </c>
      <c r="AC85" s="3" t="n">
        <v>509.985638333333</v>
      </c>
      <c r="AD85" s="3" t="n">
        <v>635.135159166666</v>
      </c>
      <c r="AE85" s="3" t="n">
        <v>694.3120425</v>
      </c>
      <c r="AF85" s="3" t="n">
        <v>121.223666666666</v>
      </c>
      <c r="AG85" s="3" t="n">
        <v>-0.276450968796282</v>
      </c>
      <c r="AH85" s="3" t="n">
        <v>120.38695</v>
      </c>
      <c r="AI85" s="3" t="n">
        <v>119.642775066545</v>
      </c>
      <c r="AJ85" s="3" t="n">
        <v>119.391958333333</v>
      </c>
      <c r="AK85" s="3" t="n">
        <v>-120.458791798892</v>
      </c>
      <c r="AL85" s="3" t="n">
        <v>3.75336245833333</v>
      </c>
      <c r="AM85" s="3" t="n">
        <v>-26.9793710465568</v>
      </c>
      <c r="AN85" s="3" t="n">
        <v>7.00886743333333</v>
      </c>
      <c r="AO85" s="3" t="n">
        <v>71.3133583554287</v>
      </c>
      <c r="AP85" s="3" t="n">
        <v>9.11812365</v>
      </c>
      <c r="AQ85" s="3" t="n">
        <v>-167.484724858109</v>
      </c>
      <c r="AR85" s="3" t="n">
        <v>406.470015</v>
      </c>
      <c r="AS85" s="3" t="n">
        <v>560.981805</v>
      </c>
      <c r="AT85" s="3" t="n">
        <v>742.083339166666</v>
      </c>
      <c r="AU85" s="3" t="n">
        <v>48.1901681333333</v>
      </c>
      <c r="AV85" s="3" t="n">
        <v>47.772415775</v>
      </c>
      <c r="AW85" s="3" t="n">
        <v>48.2037148333333</v>
      </c>
      <c r="AX85" s="3" t="n">
        <v>231.304014417546</v>
      </c>
      <c r="AY85" s="3" t="n">
        <v>404.646048213806</v>
      </c>
      <c r="AZ85" s="3" t="n">
        <v>559.903162412952</v>
      </c>
      <c r="BA85" s="3" t="n">
        <v>24.160437125</v>
      </c>
      <c r="BB85" s="3" t="n">
        <v>24.0849993083333</v>
      </c>
      <c r="BC85" s="3" t="n">
        <v>24.118295125</v>
      </c>
      <c r="BD85" s="3" t="n">
        <v>1.1494675918148</v>
      </c>
      <c r="BE85" s="3" t="n">
        <v>1.17624936098415</v>
      </c>
      <c r="BF85" s="3" t="n">
        <v>1.12621850973048</v>
      </c>
      <c r="BG85" s="3" t="n">
        <v>27.7716326121264</v>
      </c>
      <c r="BH85" s="3" t="n">
        <v>28.3299578723575</v>
      </c>
      <c r="BI85" s="3" t="n">
        <v>27.1624619998543</v>
      </c>
      <c r="BJ85" s="3" t="n">
        <v>18.2955188333333</v>
      </c>
      <c r="BK85" s="3" t="n">
        <v>18.1895062666666</v>
      </c>
      <c r="BL85" s="3" t="n">
        <v>18.2409587</v>
      </c>
      <c r="BM85" s="3" t="n">
        <v>3.97212099261292</v>
      </c>
      <c r="BN85" s="3" t="n">
        <v>3.87120926445364</v>
      </c>
      <c r="BO85" s="3" t="n">
        <v>3.9098771712767</v>
      </c>
      <c r="BP85" s="3" t="n">
        <v>72.6720144804908</v>
      </c>
      <c r="BQ85" s="3" t="n">
        <v>70.4153836508825</v>
      </c>
      <c r="BR85" s="3" t="n">
        <v>71.3199102663898</v>
      </c>
      <c r="BS85" s="169"/>
      <c r="BT85" s="169"/>
      <c r="BU85" s="169"/>
      <c r="BV85" s="169"/>
      <c r="BW85" s="169"/>
      <c r="BX85" s="169"/>
      <c r="BY85" s="169"/>
    </row>
    <row r="86" customFormat="false" ht="12.75" hidden="true" customHeight="false" outlineLevel="0" collapsed="false">
      <c r="A86" s="3" t="n">
        <v>2</v>
      </c>
      <c r="B86" s="3" t="n">
        <v>2.3</v>
      </c>
      <c r="C86" s="3" t="s">
        <v>240</v>
      </c>
      <c r="D86" s="3" t="s">
        <v>246</v>
      </c>
      <c r="E86" s="3" t="n">
        <v>1840.09455916666</v>
      </c>
      <c r="F86" s="3" t="n">
        <v>1709.81001333333</v>
      </c>
      <c r="G86" s="3" t="n">
        <v>1494.04681645885</v>
      </c>
      <c r="H86" s="3" t="n">
        <v>130.284545833333</v>
      </c>
      <c r="I86" s="3" t="n">
        <v>215.763196874482</v>
      </c>
      <c r="J86" s="3" t="n">
        <v>346.047742707815</v>
      </c>
      <c r="K86" s="3" t="n">
        <v>281.473885833333</v>
      </c>
      <c r="L86" s="3" t="n">
        <v>-29.9999999999999</v>
      </c>
      <c r="M86" s="3" t="n">
        <v>487.810846666666</v>
      </c>
      <c r="N86" s="3" t="n">
        <v>0</v>
      </c>
      <c r="O86" s="3" t="n">
        <v>281.730499166666</v>
      </c>
      <c r="P86" s="3" t="n">
        <v>-150</v>
      </c>
      <c r="Q86" s="3" t="n">
        <v>487.848606666666</v>
      </c>
      <c r="R86" s="3" t="n">
        <v>-120.055423078919</v>
      </c>
      <c r="S86" s="3" t="n">
        <v>281.495705</v>
      </c>
      <c r="T86" s="3" t="n">
        <v>90</v>
      </c>
      <c r="U86" s="3" t="n">
        <v>487.434628333333</v>
      </c>
      <c r="V86" s="3" t="n">
        <v>119.989125720587</v>
      </c>
      <c r="W86" s="3" t="n">
        <v>2.28061766666666</v>
      </c>
      <c r="X86" s="3" t="n">
        <v>-52.4025042459441</v>
      </c>
      <c r="Y86" s="3" t="n">
        <v>2.74545075833333</v>
      </c>
      <c r="Z86" s="3" t="n">
        <v>-162.509817049073</v>
      </c>
      <c r="AA86" s="3" t="n">
        <v>2.97127731666666</v>
      </c>
      <c r="AB86" s="3" t="n">
        <v>69.5718868964155</v>
      </c>
      <c r="AC86" s="3" t="n">
        <v>510.264655833333</v>
      </c>
      <c r="AD86" s="3" t="n">
        <v>635.138461666666</v>
      </c>
      <c r="AE86" s="3" t="n">
        <v>694.691441666666</v>
      </c>
      <c r="AF86" s="3" t="n">
        <v>121.229065833333</v>
      </c>
      <c r="AG86" s="3" t="n">
        <v>-0.277230851553625</v>
      </c>
      <c r="AH86" s="3" t="n">
        <v>120.422123333333</v>
      </c>
      <c r="AI86" s="3" t="n">
        <v>119.63720506485</v>
      </c>
      <c r="AJ86" s="3" t="n">
        <v>119.384019166666</v>
      </c>
      <c r="AK86" s="3" t="n">
        <v>-120.447030592014</v>
      </c>
      <c r="AL86" s="3" t="n">
        <v>3.75745744166666</v>
      </c>
      <c r="AM86" s="3" t="n">
        <v>-27.0099971289318</v>
      </c>
      <c r="AN86" s="3" t="n">
        <v>7.004921475</v>
      </c>
      <c r="AO86" s="3" t="n">
        <v>71.3393328316019</v>
      </c>
      <c r="AP86" s="3" t="n">
        <v>9.108956825</v>
      </c>
      <c r="AQ86" s="3" t="n">
        <v>-167.435513921728</v>
      </c>
      <c r="AR86" s="3" t="n">
        <v>406.825090833333</v>
      </c>
      <c r="AS86" s="3" t="n">
        <v>561.176749166666</v>
      </c>
      <c r="AT86" s="3" t="n">
        <v>741.808173333333</v>
      </c>
      <c r="AU86" s="3" t="n">
        <v>48.1904813083333</v>
      </c>
      <c r="AV86" s="3" t="n">
        <v>47.7737061583333</v>
      </c>
      <c r="AW86" s="3" t="n">
        <v>48.205448</v>
      </c>
      <c r="AX86" s="3" t="n">
        <v>231.30702079212</v>
      </c>
      <c r="AY86" s="3" t="n">
        <v>404.667908203441</v>
      </c>
      <c r="AZ86" s="3" t="n">
        <v>559.943425820343</v>
      </c>
      <c r="BA86" s="3" t="n">
        <v>24.1571127916666</v>
      </c>
      <c r="BB86" s="3" t="n">
        <v>24.081322625</v>
      </c>
      <c r="BC86" s="3" t="n">
        <v>24.111838575</v>
      </c>
      <c r="BD86" s="3" t="n">
        <v>1.15470558499132</v>
      </c>
      <c r="BE86" s="3" t="n">
        <v>1.18066351563419</v>
      </c>
      <c r="BF86" s="3" t="n">
        <v>1.13486308896818</v>
      </c>
      <c r="BG86" s="3" t="n">
        <v>27.894345977954</v>
      </c>
      <c r="BH86" s="3" t="n">
        <v>28.4319323967757</v>
      </c>
      <c r="BI86" s="3" t="n">
        <v>27.3636277137801</v>
      </c>
      <c r="BJ86" s="3" t="n">
        <v>18.2944993666666</v>
      </c>
      <c r="BK86" s="3" t="n">
        <v>18.1934728166666</v>
      </c>
      <c r="BL86" s="3" t="n">
        <v>18.2417655083333</v>
      </c>
      <c r="BM86" s="3" t="n">
        <v>3.97195112558956</v>
      </c>
      <c r="BN86" s="3" t="n">
        <v>3.87385851843673</v>
      </c>
      <c r="BO86" s="3" t="n">
        <v>3.90832511237372</v>
      </c>
      <c r="BP86" s="3" t="n">
        <v>72.6648580194809</v>
      </c>
      <c r="BQ86" s="3" t="n">
        <v>70.4789386506541</v>
      </c>
      <c r="BR86" s="3" t="n">
        <v>71.2947588843005</v>
      </c>
      <c r="BS86" s="169"/>
      <c r="BT86" s="169"/>
      <c r="BU86" s="169"/>
      <c r="BV86" s="169"/>
      <c r="BW86" s="169"/>
      <c r="BX86" s="169"/>
      <c r="BY86" s="169"/>
    </row>
    <row r="87" customFormat="false" ht="12.75" hidden="true" customHeight="false" outlineLevel="0" collapsed="false">
      <c r="A87" s="3" t="n">
        <v>2</v>
      </c>
      <c r="B87" s="3" t="n">
        <v>2.4</v>
      </c>
      <c r="C87" s="3" t="s">
        <v>241</v>
      </c>
      <c r="D87" s="3" t="s">
        <v>246</v>
      </c>
      <c r="E87" s="3" t="n">
        <v>1584.613395</v>
      </c>
      <c r="F87" s="3" t="n">
        <v>1483.16136666666</v>
      </c>
      <c r="G87" s="3" t="n">
        <v>1282.41322801902</v>
      </c>
      <c r="H87" s="3" t="n">
        <v>101.452028333333</v>
      </c>
      <c r="I87" s="3" t="n">
        <v>200.748138647642</v>
      </c>
      <c r="J87" s="3" t="n">
        <v>302.200166980976</v>
      </c>
      <c r="K87" s="3" t="n">
        <v>281.281211666666</v>
      </c>
      <c r="L87" s="3" t="n">
        <v>-29.9999999999999</v>
      </c>
      <c r="M87" s="3" t="n">
        <v>487.498760833333</v>
      </c>
      <c r="N87" s="3" t="n">
        <v>0</v>
      </c>
      <c r="O87" s="3" t="n">
        <v>281.5805225</v>
      </c>
      <c r="P87" s="3" t="n">
        <v>-150</v>
      </c>
      <c r="Q87" s="3" t="n">
        <v>487.61956</v>
      </c>
      <c r="R87" s="3" t="n">
        <v>-120.065227150078</v>
      </c>
      <c r="S87" s="3" t="n">
        <v>281.351005833333</v>
      </c>
      <c r="T87" s="3" t="n">
        <v>90</v>
      </c>
      <c r="U87" s="3" t="n">
        <v>487.131335</v>
      </c>
      <c r="V87" s="3" t="n">
        <v>119.94954887643</v>
      </c>
      <c r="W87" s="3" t="n">
        <v>2.80632325</v>
      </c>
      <c r="X87" s="3" t="n">
        <v>-38.0391633780863</v>
      </c>
      <c r="Y87" s="3" t="n">
        <v>2.03060893333333</v>
      </c>
      <c r="Z87" s="3" t="n">
        <v>-177.260622635172</v>
      </c>
      <c r="AA87" s="3" t="n">
        <v>1.79616923333333</v>
      </c>
      <c r="AB87" s="3" t="n">
        <v>74.8448759177371</v>
      </c>
      <c r="AC87" s="3" t="n">
        <v>708.607551666666</v>
      </c>
      <c r="AD87" s="3" t="n">
        <v>501.143789166666</v>
      </c>
      <c r="AE87" s="3" t="n">
        <v>374.862054166666</v>
      </c>
      <c r="AF87" s="3" t="n">
        <v>119.458923333333</v>
      </c>
      <c r="AG87" s="3" t="n">
        <v>-0.564398653794796</v>
      </c>
      <c r="AH87" s="3" t="n">
        <v>120.322726666666</v>
      </c>
      <c r="AI87" s="3" t="n">
        <v>119.668816057672</v>
      </c>
      <c r="AJ87" s="3" t="n">
        <v>122.264800833333</v>
      </c>
      <c r="AK87" s="3" t="n">
        <v>-120.15006966168</v>
      </c>
      <c r="AL87" s="3" t="n">
        <v>6.84595763333333</v>
      </c>
      <c r="AM87" s="3" t="n">
        <v>-16.2521605498157</v>
      </c>
      <c r="AN87" s="3" t="n">
        <v>6.981017325</v>
      </c>
      <c r="AO87" s="3" t="n">
        <v>71.5167594892262</v>
      </c>
      <c r="AP87" s="3" t="n">
        <v>1.818143425</v>
      </c>
      <c r="AQ87" s="3" t="n">
        <v>-172.618942418753</v>
      </c>
      <c r="AR87" s="3" t="n">
        <v>787.346696666666</v>
      </c>
      <c r="AS87" s="3" t="n">
        <v>560.394317499999</v>
      </c>
      <c r="AT87" s="3" t="n">
        <v>135.4203525</v>
      </c>
      <c r="AU87" s="3" t="n">
        <v>48.1832260333333</v>
      </c>
      <c r="AV87" s="3" t="n">
        <v>47.7780308916666</v>
      </c>
      <c r="AW87" s="3" t="n">
        <v>48.19896215</v>
      </c>
      <c r="AX87" s="3" t="n">
        <v>580.405817757521</v>
      </c>
      <c r="AY87" s="3" t="n">
        <v>404.741177271439</v>
      </c>
      <c r="AZ87" s="168" t="n">
        <v>2.58126661382644E-016</v>
      </c>
      <c r="BA87" s="3" t="n">
        <v>24.1647046083333</v>
      </c>
      <c r="BB87" s="3" t="n">
        <v>24.0879124083333</v>
      </c>
      <c r="BC87" s="3" t="n">
        <v>24.1158794</v>
      </c>
      <c r="BD87" s="3" t="n">
        <v>1.14155403728493</v>
      </c>
      <c r="BE87" s="3" t="n">
        <v>1.15863823061124</v>
      </c>
      <c r="BF87" s="3" t="n">
        <v>1.12260843648783</v>
      </c>
      <c r="BG87" s="3" t="n">
        <v>27.5853030303437</v>
      </c>
      <c r="BH87" s="3" t="n">
        <v>27.9091656717307</v>
      </c>
      <c r="BI87" s="3" t="n">
        <v>27.0726801585268</v>
      </c>
      <c r="BJ87" s="3" t="n">
        <v>18.2961868083333</v>
      </c>
      <c r="BK87" s="3" t="n">
        <v>18.1925805</v>
      </c>
      <c r="BL87" s="3" t="n">
        <v>18.2477121916666</v>
      </c>
      <c r="BM87" s="3" t="n">
        <v>3.97383354818224</v>
      </c>
      <c r="BN87" s="3" t="n">
        <v>3.88034370410331</v>
      </c>
      <c r="BO87" s="3" t="n">
        <v>3.9127984486508</v>
      </c>
      <c r="BP87" s="3" t="n">
        <v>72.7060011232537</v>
      </c>
      <c r="BQ87" s="3" t="n">
        <v>70.5934600874135</v>
      </c>
      <c r="BR87" s="3" t="n">
        <v>71.3996229187936</v>
      </c>
      <c r="BS87" s="169"/>
      <c r="BT87" s="169"/>
      <c r="BU87" s="169"/>
      <c r="BV87" s="169"/>
      <c r="BW87" s="169"/>
      <c r="BX87" s="169"/>
      <c r="BY87" s="169"/>
    </row>
    <row r="88" customFormat="false" ht="12.75" hidden="true" customHeight="false" outlineLevel="0" collapsed="false">
      <c r="A88" s="3" t="n">
        <v>2</v>
      </c>
      <c r="B88" s="3" t="n">
        <v>2.4</v>
      </c>
      <c r="C88" s="3" t="s">
        <v>242</v>
      </c>
      <c r="D88" s="3" t="s">
        <v>246</v>
      </c>
      <c r="E88" s="3" t="n">
        <v>1583.39656583333</v>
      </c>
      <c r="F88" s="3" t="n">
        <v>1481.83958166666</v>
      </c>
      <c r="G88" s="3" t="n">
        <v>1283.13204556854</v>
      </c>
      <c r="H88" s="3" t="n">
        <v>101.556984166666</v>
      </c>
      <c r="I88" s="3" t="n">
        <v>198.707536098122</v>
      </c>
      <c r="J88" s="3" t="n">
        <v>300.264520264788</v>
      </c>
      <c r="K88" s="3" t="n">
        <v>281.316825833333</v>
      </c>
      <c r="L88" s="3" t="n">
        <v>-29.9999999999999</v>
      </c>
      <c r="M88" s="3" t="n">
        <v>487.5041725</v>
      </c>
      <c r="N88" s="3" t="n">
        <v>0</v>
      </c>
      <c r="O88" s="3" t="n">
        <v>281.584780833333</v>
      </c>
      <c r="P88" s="3" t="n">
        <v>-150</v>
      </c>
      <c r="Q88" s="3" t="n">
        <v>487.685100833333</v>
      </c>
      <c r="R88" s="3" t="n">
        <v>-120.038364528333</v>
      </c>
      <c r="S88" s="3" t="n">
        <v>281.421336666666</v>
      </c>
      <c r="T88" s="3" t="n">
        <v>90</v>
      </c>
      <c r="U88" s="3" t="n">
        <v>487.251284166666</v>
      </c>
      <c r="V88" s="3" t="n">
        <v>119.983250265278</v>
      </c>
      <c r="W88" s="3" t="n">
        <v>2.80264400833333</v>
      </c>
      <c r="X88" s="3" t="n">
        <v>-38.0434162757681</v>
      </c>
      <c r="Y88" s="3" t="n">
        <v>2.02758795833333</v>
      </c>
      <c r="Z88" s="3" t="n">
        <v>-177.212603169902</v>
      </c>
      <c r="AA88" s="3" t="n">
        <v>1.79425553333333</v>
      </c>
      <c r="AB88" s="3" t="n">
        <v>74.9600643136355</v>
      </c>
      <c r="AC88" s="3" t="n">
        <v>707.853720833333</v>
      </c>
      <c r="AD88" s="3" t="n">
        <v>500.474189166666</v>
      </c>
      <c r="AE88" s="3" t="n">
        <v>375.068655833333</v>
      </c>
      <c r="AF88" s="3" t="n">
        <v>119.448586666666</v>
      </c>
      <c r="AG88" s="3" t="n">
        <v>-0.56543477846975</v>
      </c>
      <c r="AH88" s="3" t="n">
        <v>120.34177</v>
      </c>
      <c r="AI88" s="3" t="n">
        <v>119.703590317497</v>
      </c>
      <c r="AJ88" s="3" t="n">
        <v>122.281364166666</v>
      </c>
      <c r="AK88" s="3" t="n">
        <v>-120.125651419218</v>
      </c>
      <c r="AL88" s="3" t="n">
        <v>6.83613543333333</v>
      </c>
      <c r="AM88" s="3" t="n">
        <v>-16.3481714235713</v>
      </c>
      <c r="AN88" s="3" t="n">
        <v>6.974121575</v>
      </c>
      <c r="AO88" s="3" t="n">
        <v>71.6085621841142</v>
      </c>
      <c r="AP88" s="3" t="n">
        <v>1.81746475</v>
      </c>
      <c r="AQ88" s="3" t="n">
        <v>-172.555998673721</v>
      </c>
      <c r="AR88" s="3" t="n">
        <v>785.781945</v>
      </c>
      <c r="AS88" s="3" t="n">
        <v>560.551075</v>
      </c>
      <c r="AT88" s="3" t="n">
        <v>135.506561666666</v>
      </c>
      <c r="AU88" s="3" t="n">
        <v>48.1840901166666</v>
      </c>
      <c r="AV88" s="3" t="n">
        <v>47.7799062416666</v>
      </c>
      <c r="AW88" s="3" t="n">
        <v>48.1969057833333</v>
      </c>
      <c r="AX88" s="3" t="n">
        <v>580.4266351326</v>
      </c>
      <c r="AY88" s="3" t="n">
        <v>404.772950712735</v>
      </c>
      <c r="AZ88" s="168" t="n">
        <v>2.58104636346158E-016</v>
      </c>
      <c r="BA88" s="3" t="n">
        <v>24.1600956666666</v>
      </c>
      <c r="BB88" s="3" t="n">
        <v>24.0831123833333</v>
      </c>
      <c r="BC88" s="3" t="n">
        <v>24.1112153833333</v>
      </c>
      <c r="BD88" s="3" t="n">
        <v>1.15767498961398</v>
      </c>
      <c r="BE88" s="3" t="n">
        <v>1.1748966069174</v>
      </c>
      <c r="BF88" s="3" t="n">
        <v>1.13026640244918</v>
      </c>
      <c r="BG88" s="3" t="n">
        <v>27.9695301945015</v>
      </c>
      <c r="BH88" s="3" t="n">
        <v>28.2951589187294</v>
      </c>
      <c r="BI88" s="3" t="n">
        <v>27.2520890607676</v>
      </c>
      <c r="BJ88" s="3" t="n">
        <v>18.2945674666666</v>
      </c>
      <c r="BK88" s="3" t="n">
        <v>18.1958890499999</v>
      </c>
      <c r="BL88" s="3" t="n">
        <v>18.2490532083333</v>
      </c>
      <c r="BM88" s="3" t="n">
        <v>3.97202758862967</v>
      </c>
      <c r="BN88" s="3" t="n">
        <v>3.8679974693191</v>
      </c>
      <c r="BO88" s="3" t="n">
        <v>3.91074980605802</v>
      </c>
      <c r="BP88" s="3" t="n">
        <v>72.6665294167374</v>
      </c>
      <c r="BQ88" s="3" t="n">
        <v>70.3816544726221</v>
      </c>
      <c r="BR88" s="3" t="n">
        <v>71.3674976598508</v>
      </c>
      <c r="BS88" s="169"/>
      <c r="BT88" s="169"/>
      <c r="BU88" s="169"/>
      <c r="BV88" s="169"/>
      <c r="BW88" s="169"/>
      <c r="BX88" s="169"/>
      <c r="BY88" s="169"/>
    </row>
    <row r="89" customFormat="false" ht="12.75" hidden="true" customHeight="false" outlineLevel="0" collapsed="false">
      <c r="A89" s="3" t="n">
        <v>2</v>
      </c>
      <c r="B89" s="3" t="n">
        <v>2.4</v>
      </c>
      <c r="C89" s="3" t="s">
        <v>243</v>
      </c>
      <c r="D89" s="3" t="s">
        <v>246</v>
      </c>
      <c r="E89" s="3" t="n">
        <v>1583.65055749999</v>
      </c>
      <c r="F89" s="3" t="n">
        <v>1481.83878166666</v>
      </c>
      <c r="G89" s="3" t="n">
        <v>1283.56182784755</v>
      </c>
      <c r="H89" s="3" t="n">
        <v>101.811775833333</v>
      </c>
      <c r="I89" s="3" t="n">
        <v>198.276953819114</v>
      </c>
      <c r="J89" s="3" t="n">
        <v>300.088729652448</v>
      </c>
      <c r="K89" s="3" t="n">
        <v>281.297560833333</v>
      </c>
      <c r="L89" s="3" t="n">
        <v>-29.9999999999999</v>
      </c>
      <c r="M89" s="3" t="n">
        <v>487.526156666666</v>
      </c>
      <c r="N89" s="3" t="n">
        <v>0</v>
      </c>
      <c r="O89" s="3" t="n">
        <v>281.607869166666</v>
      </c>
      <c r="P89" s="3" t="n">
        <v>-150</v>
      </c>
      <c r="Q89" s="3" t="n">
        <v>487.687828333333</v>
      </c>
      <c r="R89" s="3" t="n">
        <v>-120.070759534792</v>
      </c>
      <c r="S89" s="3" t="n">
        <v>281.390965</v>
      </c>
      <c r="T89" s="3" t="n">
        <v>90</v>
      </c>
      <c r="U89" s="3" t="n">
        <v>487.180799166666</v>
      </c>
      <c r="V89" s="3" t="n">
        <v>119.959391008867</v>
      </c>
      <c r="W89" s="3" t="n">
        <v>2.803849525</v>
      </c>
      <c r="X89" s="3" t="n">
        <v>-38.1421043366219</v>
      </c>
      <c r="Y89" s="3" t="n">
        <v>2.0271319</v>
      </c>
      <c r="Z89" s="3" t="n">
        <v>-177.266353645335</v>
      </c>
      <c r="AA89" s="3" t="n">
        <v>1.798256275</v>
      </c>
      <c r="AB89" s="3" t="n">
        <v>74.8786876535015</v>
      </c>
      <c r="AC89" s="3" t="n">
        <v>707.767040833333</v>
      </c>
      <c r="AD89" s="3" t="n">
        <v>500.194236666666</v>
      </c>
      <c r="AE89" s="3" t="n">
        <v>375.68928</v>
      </c>
      <c r="AF89" s="3" t="n">
        <v>119.441518333333</v>
      </c>
      <c r="AG89" s="3" t="n">
        <v>-0.565413680464501</v>
      </c>
      <c r="AH89" s="3" t="n">
        <v>120.311696666666</v>
      </c>
      <c r="AI89" s="3" t="n">
        <v>119.681909709547</v>
      </c>
      <c r="AJ89" s="3" t="n">
        <v>122.284826666666</v>
      </c>
      <c r="AK89" s="3" t="n">
        <v>-120.156976461597</v>
      </c>
      <c r="AL89" s="3" t="n">
        <v>6.83224868333333</v>
      </c>
      <c r="AM89" s="3" t="n">
        <v>-16.4075359836914</v>
      </c>
      <c r="AN89" s="3" t="n">
        <v>6.98886564166666</v>
      </c>
      <c r="AO89" s="3" t="n">
        <v>71.5581755274165</v>
      </c>
      <c r="AP89" s="3" t="n">
        <v>1.81987689166666</v>
      </c>
      <c r="AQ89" s="3" t="n">
        <v>-172.649700806769</v>
      </c>
      <c r="AR89" s="3" t="n">
        <v>785.05826</v>
      </c>
      <c r="AS89" s="3" t="n">
        <v>561.2823625</v>
      </c>
      <c r="AT89" s="3" t="n">
        <v>135.498159166666</v>
      </c>
      <c r="AU89" s="3" t="n">
        <v>48.184140775</v>
      </c>
      <c r="AV89" s="3" t="n">
        <v>47.7799037083333</v>
      </c>
      <c r="AW89" s="3" t="n">
        <v>48.1970128666666</v>
      </c>
      <c r="AX89" s="3" t="n">
        <v>580.4278555794</v>
      </c>
      <c r="AY89" s="3" t="n">
        <v>404.772907848775</v>
      </c>
      <c r="AZ89" s="168" t="n">
        <v>2.58105783259493E-016</v>
      </c>
      <c r="BA89" s="3" t="n">
        <v>24.1558871916666</v>
      </c>
      <c r="BB89" s="3" t="n">
        <v>24.0788490833333</v>
      </c>
      <c r="BC89" s="3" t="n">
        <v>24.10560445</v>
      </c>
      <c r="BD89" s="3" t="n">
        <v>1.16598514163674</v>
      </c>
      <c r="BE89" s="3" t="n">
        <v>1.18117921633998</v>
      </c>
      <c r="BF89" s="3" t="n">
        <v>1.13459135317549</v>
      </c>
      <c r="BG89" s="3" t="n">
        <v>28.1654005370403</v>
      </c>
      <c r="BH89" s="3" t="n">
        <v>28.4414299428204</v>
      </c>
      <c r="BI89" s="3" t="n">
        <v>27.3500035266854</v>
      </c>
      <c r="BJ89" s="3" t="n">
        <v>18.2927685833333</v>
      </c>
      <c r="BK89" s="3" t="n">
        <v>18.19639425</v>
      </c>
      <c r="BL89" s="3" t="n">
        <v>18.2451663333333</v>
      </c>
      <c r="BM89" s="3" t="n">
        <v>3.97223589603542</v>
      </c>
      <c r="BN89" s="3" t="n">
        <v>3.87244503473864</v>
      </c>
      <c r="BO89" s="3" t="n">
        <v>3.90659506918546</v>
      </c>
      <c r="BP89" s="3" t="n">
        <v>72.6631924870215</v>
      </c>
      <c r="BQ89" s="3" t="n">
        <v>70.4645354862429</v>
      </c>
      <c r="BR89" s="3" t="n">
        <v>71.2765024395655</v>
      </c>
      <c r="BS89" s="169"/>
      <c r="BT89" s="169"/>
      <c r="BU89" s="169"/>
      <c r="BV89" s="169"/>
      <c r="BW89" s="169"/>
      <c r="BX89" s="169"/>
      <c r="BY89" s="169"/>
    </row>
    <row r="90" customFormat="false" ht="12.75" hidden="false" customHeight="false" outlineLevel="0" collapsed="false">
      <c r="A90" s="3" t="n">
        <v>1</v>
      </c>
      <c r="B90" s="3" t="n">
        <v>1.1</v>
      </c>
      <c r="C90" s="3" t="s">
        <v>244</v>
      </c>
      <c r="D90" s="3" t="s">
        <v>246</v>
      </c>
      <c r="E90" s="3" t="n">
        <v>101.825394083333</v>
      </c>
      <c r="F90" s="3" t="n">
        <v>50.3191635972222</v>
      </c>
      <c r="G90" s="3" t="n">
        <v>2.80985522846004</v>
      </c>
      <c r="H90" s="3" t="n">
        <v>51.5062304861111</v>
      </c>
      <c r="I90" s="3" t="n">
        <v>47.5093083687621</v>
      </c>
      <c r="J90" s="3" t="n">
        <v>99.0155388548732</v>
      </c>
      <c r="K90" s="3" t="n">
        <v>281.693406944444</v>
      </c>
      <c r="L90" s="3" t="n">
        <v>-29.9999999999999</v>
      </c>
      <c r="M90" s="3" t="n">
        <v>488.364992222222</v>
      </c>
      <c r="N90" s="3" t="n">
        <v>0</v>
      </c>
      <c r="O90" s="3" t="n">
        <v>282.057328611111</v>
      </c>
      <c r="P90" s="3" t="n">
        <v>-150</v>
      </c>
      <c r="Q90" s="3" t="n">
        <v>488.252851388888</v>
      </c>
      <c r="R90" s="3" t="n">
        <v>-120.083742111857</v>
      </c>
      <c r="S90" s="3" t="n">
        <v>281.6286225</v>
      </c>
      <c r="T90" s="3" t="n">
        <v>90</v>
      </c>
      <c r="U90" s="3" t="n">
        <v>487.653557777777</v>
      </c>
      <c r="V90" s="3" t="n">
        <v>119.976071398557</v>
      </c>
      <c r="W90" s="3" t="n">
        <v>0.291480075555555</v>
      </c>
      <c r="X90" s="3" t="n">
        <v>-96.5654057505733</v>
      </c>
      <c r="Y90" s="3" t="n">
        <v>0.35855459</v>
      </c>
      <c r="Z90" s="3" t="n">
        <v>146.802319706211</v>
      </c>
      <c r="AA90" s="3" t="n">
        <v>0.343808744166666</v>
      </c>
      <c r="AB90" s="3" t="n">
        <v>16.6678936734667</v>
      </c>
      <c r="AC90" s="3" t="n">
        <v>31.7342673055555</v>
      </c>
      <c r="AD90" s="3" t="n">
        <v>43.6085888055555</v>
      </c>
      <c r="AE90" s="3" t="n">
        <v>26.4825379722222</v>
      </c>
      <c r="AF90" s="3" t="n">
        <v>122.759435555555</v>
      </c>
      <c r="AG90" s="3" t="n">
        <v>-0.001645018365006</v>
      </c>
      <c r="AH90" s="3" t="n">
        <v>122.673948611111</v>
      </c>
      <c r="AI90" s="3" t="n">
        <v>120.030916590591</v>
      </c>
      <c r="AJ90" s="3" t="n">
        <v>122.766035555555</v>
      </c>
      <c r="AK90" s="3" t="n">
        <v>-120.055115156312</v>
      </c>
      <c r="AL90" s="3" t="n">
        <v>0.329452984722222</v>
      </c>
      <c r="AM90" s="3" t="n">
        <v>-50.7625047413532</v>
      </c>
      <c r="AN90" s="3" t="n">
        <v>0.140904922777777</v>
      </c>
      <c r="AO90" s="3" t="n">
        <v>49.8837315618862</v>
      </c>
      <c r="AP90" s="3" t="n">
        <v>0.378891424166666</v>
      </c>
      <c r="AQ90" s="3" t="n">
        <v>173.873303508515</v>
      </c>
      <c r="AR90" s="3" t="n">
        <v>25.5828448888888</v>
      </c>
      <c r="AS90" s="3" t="n">
        <v>5.87011690277777</v>
      </c>
      <c r="AT90" s="3" t="n">
        <v>18.8662018055555</v>
      </c>
      <c r="AU90" s="3" t="n">
        <v>48.1924307444444</v>
      </c>
      <c r="AV90" s="3" t="n">
        <v>48.556308525</v>
      </c>
      <c r="AW90" s="3" t="n">
        <v>48.1948821916666</v>
      </c>
      <c r="AX90" s="168" t="n">
        <v>2.58056709014344E-016</v>
      </c>
      <c r="AY90" s="168" t="n">
        <v>2.61968344578623E-016</v>
      </c>
      <c r="AZ90" s="168" t="n">
        <v>2.58082963375377E-016</v>
      </c>
      <c r="BA90" s="3" t="n">
        <v>24.2465353805555</v>
      </c>
      <c r="BB90" s="3" t="n">
        <v>24.1972713861111</v>
      </c>
      <c r="BC90" s="3" t="n">
        <v>24.1835504222222</v>
      </c>
      <c r="BD90" s="3" t="n">
        <v>0.0404965639065096</v>
      </c>
      <c r="BE90" s="3" t="n">
        <v>0.0214419589645443</v>
      </c>
      <c r="BF90" s="3" t="n">
        <v>0.0414077693491158</v>
      </c>
      <c r="BG90" s="3" t="n">
        <v>0.981901708845952</v>
      </c>
      <c r="BH90" s="3" t="n">
        <v>0.518837435402305</v>
      </c>
      <c r="BI90" s="3" t="n">
        <v>1.00138697169095</v>
      </c>
      <c r="BJ90" s="3" t="n">
        <v>18.9664124527777</v>
      </c>
      <c r="BK90" s="3" t="n">
        <v>18.6086607638888</v>
      </c>
      <c r="BL90" s="3" t="n">
        <v>18.7034377861111</v>
      </c>
      <c r="BM90" s="3" t="n">
        <v>0.00249779060504669</v>
      </c>
      <c r="BN90" s="3" t="n">
        <v>0.00346641942502291</v>
      </c>
      <c r="BO90" s="3" t="n">
        <v>0.0104713002903103</v>
      </c>
      <c r="BP90" s="3" t="n">
        <v>0.0473744176567339</v>
      </c>
      <c r="BQ90" s="3" t="n">
        <v>0.064505352796676</v>
      </c>
      <c r="BR90" s="3" t="n">
        <v>0.195849342067418</v>
      </c>
      <c r="BS90" s="169"/>
      <c r="BT90" s="169"/>
      <c r="BU90" s="169"/>
      <c r="BV90" s="169"/>
      <c r="BW90" s="169"/>
      <c r="BX90" s="169"/>
      <c r="BY90" s="169"/>
    </row>
    <row r="91" customFormat="false" ht="12.75" hidden="false" customHeight="false" outlineLevel="0" collapsed="false">
      <c r="A91" s="3" t="n">
        <v>1</v>
      </c>
      <c r="B91" s="3" t="n">
        <v>1.2</v>
      </c>
      <c r="C91" s="3" t="s">
        <v>244</v>
      </c>
      <c r="D91" s="3" t="s">
        <v>246</v>
      </c>
      <c r="E91" s="3" t="n">
        <v>460.716396944444</v>
      </c>
      <c r="F91" s="3" t="n">
        <v>403.43188</v>
      </c>
      <c r="G91" s="3" t="n">
        <v>299.210860799579</v>
      </c>
      <c r="H91" s="3" t="n">
        <v>57.2845169444444</v>
      </c>
      <c r="I91" s="3" t="n">
        <v>104.22101920042</v>
      </c>
      <c r="J91" s="3" t="n">
        <v>161.505536144865</v>
      </c>
      <c r="K91" s="3" t="n">
        <v>281.701779722222</v>
      </c>
      <c r="L91" s="3" t="n">
        <v>-29.9999999999999</v>
      </c>
      <c r="M91" s="3" t="n">
        <v>488.333321111111</v>
      </c>
      <c r="N91" s="3" t="n">
        <v>0</v>
      </c>
      <c r="O91" s="3" t="n">
        <v>281.977469444444</v>
      </c>
      <c r="P91" s="3" t="n">
        <v>-150</v>
      </c>
      <c r="Q91" s="3" t="n">
        <v>488.053857222222</v>
      </c>
      <c r="R91" s="3" t="n">
        <v>-120.077085666025</v>
      </c>
      <c r="S91" s="3" t="n">
        <v>281.540295833333</v>
      </c>
      <c r="T91" s="3" t="n">
        <v>90</v>
      </c>
      <c r="U91" s="3" t="n">
        <v>487.607544166666</v>
      </c>
      <c r="V91" s="3" t="n">
        <v>120.009129508315</v>
      </c>
      <c r="W91" s="3" t="n">
        <v>0.750825698055555</v>
      </c>
      <c r="X91" s="3" t="n">
        <v>-58.3094169961341</v>
      </c>
      <c r="Y91" s="3" t="n">
        <v>0.781256079722222</v>
      </c>
      <c r="Z91" s="3" t="n">
        <v>-178.741174203635</v>
      </c>
      <c r="AA91" s="3" t="n">
        <v>0.722009103611111</v>
      </c>
      <c r="AB91" s="3" t="n">
        <v>56.3357509425673</v>
      </c>
      <c r="AC91" s="3" t="n">
        <v>151.728566111111</v>
      </c>
      <c r="AD91" s="3" t="n">
        <v>167.6012375</v>
      </c>
      <c r="AE91" s="3" t="n">
        <v>141.386593333333</v>
      </c>
      <c r="AF91" s="3" t="n">
        <v>122.323602222222</v>
      </c>
      <c r="AG91" s="3" t="n">
        <v>-0.132783474930557</v>
      </c>
      <c r="AH91" s="3" t="n">
        <v>122.235330833333</v>
      </c>
      <c r="AI91" s="3" t="n">
        <v>119.93412553304</v>
      </c>
      <c r="AJ91" s="3" t="n">
        <v>122.239686388888</v>
      </c>
      <c r="AK91" s="3" t="n">
        <v>-120.152422978256</v>
      </c>
      <c r="AL91" s="3" t="n">
        <v>2.08647977777777</v>
      </c>
      <c r="AM91" s="3" t="n">
        <v>-55.5644447918843</v>
      </c>
      <c r="AN91" s="3" t="n">
        <v>1.90705738333333</v>
      </c>
      <c r="AO91" s="3" t="n">
        <v>61.8423826201646</v>
      </c>
      <c r="AP91" s="3" t="n">
        <v>1.81963388055555</v>
      </c>
      <c r="AQ91" s="3" t="n">
        <v>-172.652538219456</v>
      </c>
      <c r="AR91" s="3" t="n">
        <v>144.812155555555</v>
      </c>
      <c r="AS91" s="3" t="n">
        <v>123.212798888888</v>
      </c>
      <c r="AT91" s="3" t="n">
        <v>135.406925555555</v>
      </c>
      <c r="AU91" s="3" t="n">
        <v>48.1935178777777</v>
      </c>
      <c r="AV91" s="3" t="n">
        <v>48.5702471972222</v>
      </c>
      <c r="AW91" s="3" t="n">
        <v>48.1979748027777</v>
      </c>
      <c r="AX91" s="168" t="n">
        <v>2.58068351770181E-016</v>
      </c>
      <c r="AY91" s="168" t="n">
        <v>2.62118775030771E-016</v>
      </c>
      <c r="AZ91" s="168" t="n">
        <v>2.58116086168426E-016</v>
      </c>
      <c r="BA91" s="3" t="n">
        <v>24.1491545777777</v>
      </c>
      <c r="BB91" s="3" t="n">
        <v>24.0675166277777</v>
      </c>
      <c r="BC91" s="3" t="n">
        <v>24.0951244694444</v>
      </c>
      <c r="BD91" s="3" t="n">
        <v>1.16554962874979</v>
      </c>
      <c r="BE91" s="3" t="n">
        <v>1.18952656732037</v>
      </c>
      <c r="BF91" s="3" t="n">
        <v>1.14777234723803</v>
      </c>
      <c r="BG91" s="3" t="n">
        <v>28.1469293074319</v>
      </c>
      <c r="BH91" s="3" t="n">
        <v>28.6288362229295</v>
      </c>
      <c r="BI91" s="3" t="n">
        <v>27.655601269483</v>
      </c>
      <c r="BJ91" s="3" t="n">
        <v>18.2863502694444</v>
      </c>
      <c r="BK91" s="3" t="n">
        <v>18.1997711805555</v>
      </c>
      <c r="BL91" s="3" t="n">
        <v>18.2466226388888</v>
      </c>
      <c r="BM91" s="3" t="n">
        <v>3.97063937924364</v>
      </c>
      <c r="BN91" s="3" t="n">
        <v>3.9150249234497</v>
      </c>
      <c r="BO91" s="3" t="n">
        <v>3.88666077688244</v>
      </c>
      <c r="BP91" s="3" t="n">
        <v>72.6085176397332</v>
      </c>
      <c r="BQ91" s="3" t="n">
        <v>71.2525512624714</v>
      </c>
      <c r="BR91" s="3" t="n">
        <v>70.91842509753</v>
      </c>
      <c r="BS91" s="169"/>
      <c r="BT91" s="169"/>
      <c r="BU91" s="169"/>
      <c r="BV91" s="169"/>
      <c r="BW91" s="169"/>
      <c r="BX91" s="169"/>
      <c r="BY91" s="169"/>
    </row>
    <row r="92" customFormat="false" ht="12.75" hidden="false" customHeight="false" outlineLevel="0" collapsed="false">
      <c r="A92" s="3" t="n">
        <v>1</v>
      </c>
      <c r="B92" s="3" t="n">
        <v>1.3</v>
      </c>
      <c r="C92" s="3" t="s">
        <v>244</v>
      </c>
      <c r="D92" s="3" t="s">
        <v>246</v>
      </c>
      <c r="E92" s="3" t="n">
        <v>1254.879875</v>
      </c>
      <c r="F92" s="3" t="n">
        <v>1172.17522361111</v>
      </c>
      <c r="G92" s="3" t="n">
        <v>997.146627398323</v>
      </c>
      <c r="H92" s="3" t="n">
        <v>82.7046513888889</v>
      </c>
      <c r="I92" s="3" t="n">
        <v>175.028596212788</v>
      </c>
      <c r="J92" s="3" t="n">
        <v>257.733247601677</v>
      </c>
      <c r="K92" s="3" t="n">
        <v>281.499177222222</v>
      </c>
      <c r="L92" s="3" t="n">
        <v>-29.9999999999999</v>
      </c>
      <c r="M92" s="3" t="n">
        <v>487.865366944444</v>
      </c>
      <c r="N92" s="3" t="n">
        <v>0</v>
      </c>
      <c r="O92" s="3" t="n">
        <v>281.7287575</v>
      </c>
      <c r="P92" s="3" t="n">
        <v>-150</v>
      </c>
      <c r="Q92" s="3" t="n">
        <v>487.7772875</v>
      </c>
      <c r="R92" s="3" t="n">
        <v>-120.049029394568</v>
      </c>
      <c r="S92" s="3" t="n">
        <v>281.448289444444</v>
      </c>
      <c r="T92" s="3" t="n">
        <v>90</v>
      </c>
      <c r="U92" s="3" t="n">
        <v>487.410554444444</v>
      </c>
      <c r="V92" s="3" t="n">
        <v>119.968464199181</v>
      </c>
      <c r="W92" s="3" t="n">
        <v>1.71623083611111</v>
      </c>
      <c r="X92" s="3" t="n">
        <v>-46.1535045242498</v>
      </c>
      <c r="Y92" s="3" t="n">
        <v>1.82133166388888</v>
      </c>
      <c r="Z92" s="3" t="n">
        <v>-166.890094752604</v>
      </c>
      <c r="AA92" s="3" t="n">
        <v>1.74241170555555</v>
      </c>
      <c r="AB92" s="3" t="n">
        <v>68.5640119158959</v>
      </c>
      <c r="AC92" s="3" t="n">
        <v>409.119251944444</v>
      </c>
      <c r="AD92" s="3" t="n">
        <v>444.241995833333</v>
      </c>
      <c r="AE92" s="3" t="n">
        <v>401.518627222222</v>
      </c>
      <c r="AF92" s="3" t="n">
        <v>121.155988055555</v>
      </c>
      <c r="AG92" s="3" t="n">
        <v>-0.293692005648504</v>
      </c>
      <c r="AH92" s="3" t="n">
        <v>121.165688333333</v>
      </c>
      <c r="AI92" s="3" t="n">
        <v>119.759307839717</v>
      </c>
      <c r="AJ92" s="3" t="n">
        <v>120.953919166666</v>
      </c>
      <c r="AK92" s="3" t="n">
        <v>-120.234211301461</v>
      </c>
      <c r="AL92" s="3" t="n">
        <v>3.76429201944444</v>
      </c>
      <c r="AM92" s="3" t="n">
        <v>-27.2325150246029</v>
      </c>
      <c r="AN92" s="3" t="n">
        <v>4.53197188888888</v>
      </c>
      <c r="AO92" s="3" t="n">
        <v>72.3013175060556</v>
      </c>
      <c r="AP92" s="3" t="n">
        <v>4.87070874444444</v>
      </c>
      <c r="AQ92" s="3" t="n">
        <v>-168.214833737361</v>
      </c>
      <c r="AR92" s="3" t="n">
        <v>406.578349166666</v>
      </c>
      <c r="AS92" s="3" t="n">
        <v>371.258363333333</v>
      </c>
      <c r="AT92" s="3" t="n">
        <v>394.338511111111</v>
      </c>
      <c r="AU92" s="3" t="n">
        <v>48.1909559277777</v>
      </c>
      <c r="AV92" s="3" t="n">
        <v>48.3679406027777</v>
      </c>
      <c r="AW92" s="3" t="n">
        <v>48.2072573694444</v>
      </c>
      <c r="AX92" s="3" t="n">
        <v>231.311577020847</v>
      </c>
      <c r="AY92" s="3" t="n">
        <v>230.715747513395</v>
      </c>
      <c r="AZ92" s="3" t="n">
        <v>236.894970796729</v>
      </c>
      <c r="BA92" s="3" t="n">
        <v>24.1544739</v>
      </c>
      <c r="BB92" s="3" t="n">
        <v>24.0761977222222</v>
      </c>
      <c r="BC92" s="3" t="n">
        <v>24.1021204861111</v>
      </c>
      <c r="BD92" s="3" t="n">
        <v>1.15796896382257</v>
      </c>
      <c r="BE92" s="3" t="n">
        <v>1.17519493852526</v>
      </c>
      <c r="BF92" s="3" t="n">
        <v>1.1345450388679</v>
      </c>
      <c r="BG92" s="3" t="n">
        <v>27.9701244877774</v>
      </c>
      <c r="BH92" s="3" t="n">
        <v>28.294215768816</v>
      </c>
      <c r="BI92" s="3" t="n">
        <v>27.3449328729692</v>
      </c>
      <c r="BJ92" s="3" t="n">
        <v>18.2919623527777</v>
      </c>
      <c r="BK92" s="3" t="n">
        <v>18.2060793555555</v>
      </c>
      <c r="BL92" s="3" t="n">
        <v>18.2551638444444</v>
      </c>
      <c r="BM92" s="3" t="n">
        <v>3.97341035720423</v>
      </c>
      <c r="BN92" s="3" t="n">
        <v>3.87538597469633</v>
      </c>
      <c r="BO92" s="3" t="n">
        <v>3.91001584760174</v>
      </c>
      <c r="BP92" s="3" t="n">
        <v>72.6814733221907</v>
      </c>
      <c r="BQ92" s="3" t="n">
        <v>70.5555756312434</v>
      </c>
      <c r="BR92" s="3" t="n">
        <v>71.3780099843541</v>
      </c>
      <c r="BS92" s="169"/>
      <c r="BT92" s="169"/>
      <c r="BU92" s="169"/>
      <c r="BV92" s="169"/>
      <c r="BW92" s="169"/>
      <c r="BX92" s="169"/>
      <c r="BY92" s="169"/>
    </row>
    <row r="93" customFormat="false" ht="12.75" hidden="false" customHeight="false" outlineLevel="0" collapsed="false">
      <c r="A93" s="3" t="n">
        <v>1</v>
      </c>
      <c r="B93" s="3" t="n">
        <v>1.4</v>
      </c>
      <c r="C93" s="3" t="s">
        <v>244</v>
      </c>
      <c r="D93" s="3" t="s">
        <v>246</v>
      </c>
      <c r="E93" s="3" t="n">
        <v>1870.86011666666</v>
      </c>
      <c r="F93" s="3" t="n">
        <v>1750.23456222222</v>
      </c>
      <c r="G93" s="3" t="n">
        <v>1529.44279965342</v>
      </c>
      <c r="H93" s="3" t="n">
        <v>120.625554444444</v>
      </c>
      <c r="I93" s="3" t="n">
        <v>220.791762568797</v>
      </c>
      <c r="J93" s="3" t="n">
        <v>341.417317013241</v>
      </c>
      <c r="K93" s="3" t="n">
        <v>281.312453611111</v>
      </c>
      <c r="L93" s="3" t="n">
        <v>-29.9999999999999</v>
      </c>
      <c r="M93" s="3" t="n">
        <v>487.552997222222</v>
      </c>
      <c r="N93" s="3" t="n">
        <v>0</v>
      </c>
      <c r="O93" s="3" t="n">
        <v>281.573859444444</v>
      </c>
      <c r="P93" s="3" t="n">
        <v>-150</v>
      </c>
      <c r="Q93" s="3" t="n">
        <v>487.542073055555</v>
      </c>
      <c r="R93" s="3" t="n">
        <v>-120.075218527596</v>
      </c>
      <c r="S93" s="3" t="n">
        <v>281.306140277777</v>
      </c>
      <c r="T93" s="3" t="n">
        <v>90</v>
      </c>
      <c r="U93" s="3" t="n">
        <v>487.119851944444</v>
      </c>
      <c r="V93" s="3" t="n">
        <v>119.962826697381</v>
      </c>
      <c r="W93" s="3" t="n">
        <v>2.52129937777777</v>
      </c>
      <c r="X93" s="3" t="n">
        <v>-44.1321506102597</v>
      </c>
      <c r="Y93" s="3" t="n">
        <v>2.61827909722222</v>
      </c>
      <c r="Z93" s="3" t="n">
        <v>-164.086183436892</v>
      </c>
      <c r="AA93" s="3" t="n">
        <v>2.60438100555555</v>
      </c>
      <c r="AB93" s="3" t="n">
        <v>70.9579259613297</v>
      </c>
      <c r="AC93" s="3" t="n">
        <v>611.740913333333</v>
      </c>
      <c r="AD93" s="3" t="n">
        <v>652.224225555555</v>
      </c>
      <c r="AE93" s="3" t="n">
        <v>606.894977777777</v>
      </c>
      <c r="AF93" s="3" t="n">
        <v>120.276964444444</v>
      </c>
      <c r="AG93" s="3" t="n">
        <v>-0.41259098891913</v>
      </c>
      <c r="AH93" s="3" t="n">
        <v>120.30381</v>
      </c>
      <c r="AI93" s="3" t="n">
        <v>119.63700306475</v>
      </c>
      <c r="AJ93" s="3" t="n">
        <v>120.065516388888</v>
      </c>
      <c r="AK93" s="3" t="n">
        <v>-120.366776241507</v>
      </c>
      <c r="AL93" s="3" t="n">
        <v>5.31703409444444</v>
      </c>
      <c r="AM93" s="3" t="n">
        <v>-20.0876835496843</v>
      </c>
      <c r="AN93" s="3" t="n">
        <v>6.99273856944444</v>
      </c>
      <c r="AO93" s="3" t="n">
        <v>71.4166224162488</v>
      </c>
      <c r="AP93" s="3" t="n">
        <v>7.27565672777777</v>
      </c>
      <c r="AQ93" s="3" t="n">
        <v>-168.098382739969</v>
      </c>
      <c r="AR93" s="3" t="n">
        <v>602.178936666666</v>
      </c>
      <c r="AS93" s="3" t="n">
        <v>560.499141944444</v>
      </c>
      <c r="AT93" s="3" t="n">
        <v>587.556483611111</v>
      </c>
      <c r="AU93" s="3" t="n">
        <v>48.1868289583333</v>
      </c>
      <c r="AV93" s="3" t="n">
        <v>47.7719269</v>
      </c>
      <c r="AW93" s="3" t="n">
        <v>48.1994396444444</v>
      </c>
      <c r="AX93" s="3" t="n">
        <v>411.696894636103</v>
      </c>
      <c r="AY93" s="3" t="n">
        <v>404.637766281823</v>
      </c>
      <c r="AZ93" s="3" t="n">
        <v>414.854639806208</v>
      </c>
      <c r="BA93" s="3" t="n">
        <v>24.1551743055555</v>
      </c>
      <c r="BB93" s="3" t="n">
        <v>24.0780824277777</v>
      </c>
      <c r="BC93" s="3" t="n">
        <v>24.1037108388888</v>
      </c>
      <c r="BD93" s="3" t="n">
        <v>1.16115308996742</v>
      </c>
      <c r="BE93" s="3" t="n">
        <v>1.17846438445581</v>
      </c>
      <c r="BF93" s="3" t="n">
        <v>1.13724902537121</v>
      </c>
      <c r="BG93" s="3" t="n">
        <v>28.0478456160767</v>
      </c>
      <c r="BH93" s="3" t="n">
        <v>28.3751494518021</v>
      </c>
      <c r="BI93" s="3" t="n">
        <v>27.4119136836453</v>
      </c>
      <c r="BJ93" s="3" t="n">
        <v>18.2918842472222</v>
      </c>
      <c r="BK93" s="3" t="n">
        <v>18.2003575611111</v>
      </c>
      <c r="BL93" s="3" t="n">
        <v>18.2419945472222</v>
      </c>
      <c r="BM93" s="3" t="n">
        <v>3.97228358800516</v>
      </c>
      <c r="BN93" s="3" t="n">
        <v>3.87367505735114</v>
      </c>
      <c r="BO93" s="3" t="n">
        <v>3.90613906642886</v>
      </c>
      <c r="BP93" s="3" t="n">
        <v>72.6605526668598</v>
      </c>
      <c r="BQ93" s="3" t="n">
        <v>70.5022683961235</v>
      </c>
      <c r="BR93" s="3" t="n">
        <v>71.2557691147812</v>
      </c>
      <c r="BS93" s="169"/>
      <c r="BT93" s="169"/>
      <c r="BU93" s="169"/>
      <c r="BV93" s="169"/>
      <c r="BW93" s="169"/>
      <c r="BX93" s="169"/>
      <c r="BY93" s="169"/>
    </row>
    <row r="94" customFormat="false" ht="12.75" hidden="false" customHeight="false" outlineLevel="0" collapsed="false">
      <c r="A94" s="3" t="n">
        <v>2</v>
      </c>
      <c r="B94" s="3" t="n">
        <v>2.1</v>
      </c>
      <c r="C94" s="3" t="s">
        <v>244</v>
      </c>
      <c r="D94" s="3" t="s">
        <v>246</v>
      </c>
      <c r="E94" s="3" t="n">
        <v>101.598264777777</v>
      </c>
      <c r="F94" s="3" t="n">
        <v>50.2956537333333</v>
      </c>
      <c r="G94" s="3" t="n">
        <v>2.81047259293043</v>
      </c>
      <c r="H94" s="3" t="n">
        <v>51.3026110444444</v>
      </c>
      <c r="I94" s="3" t="n">
        <v>47.4851811404029</v>
      </c>
      <c r="J94" s="3" t="n">
        <v>98.7877921848473</v>
      </c>
      <c r="K94" s="3" t="n">
        <v>281.277305555555</v>
      </c>
      <c r="L94" s="3" t="n">
        <v>-29.9999999999999</v>
      </c>
      <c r="M94" s="3" t="n">
        <v>487.687363611111</v>
      </c>
      <c r="N94" s="3" t="n">
        <v>0</v>
      </c>
      <c r="O94" s="3" t="n">
        <v>281.671719444444</v>
      </c>
      <c r="P94" s="3" t="n">
        <v>-150</v>
      </c>
      <c r="Q94" s="3" t="n">
        <v>487.551619166666</v>
      </c>
      <c r="R94" s="3" t="n">
        <v>-120.085066902757</v>
      </c>
      <c r="S94" s="3" t="n">
        <v>281.198858333333</v>
      </c>
      <c r="T94" s="3" t="n">
        <v>90</v>
      </c>
      <c r="U94" s="3" t="n">
        <v>486.899348888888</v>
      </c>
      <c r="V94" s="3" t="n">
        <v>119.974191057926</v>
      </c>
      <c r="W94" s="3" t="n">
        <v>0.291372405555555</v>
      </c>
      <c r="X94" s="3" t="n">
        <v>-96.5892805332336</v>
      </c>
      <c r="Y94" s="3" t="n">
        <v>0.358357640555555</v>
      </c>
      <c r="Z94" s="3" t="n">
        <v>146.793972338307</v>
      </c>
      <c r="AA94" s="3" t="n">
        <v>0.343696408055555</v>
      </c>
      <c r="AB94" s="3" t="n">
        <v>16.6514786671801</v>
      </c>
      <c r="AC94" s="3" t="n">
        <v>31.6493386666666</v>
      </c>
      <c r="AD94" s="3" t="n">
        <v>43.521675</v>
      </c>
      <c r="AE94" s="3" t="n">
        <v>26.4272511111111</v>
      </c>
      <c r="AF94" s="3" t="n">
        <v>122.588693611111</v>
      </c>
      <c r="AG94" s="3" t="n">
        <v>-0.00116055863184764</v>
      </c>
      <c r="AH94" s="3" t="n">
        <v>122.483983611111</v>
      </c>
      <c r="AI94" s="3" t="n">
        <v>120.031214223465</v>
      </c>
      <c r="AJ94" s="3" t="n">
        <v>122.589376388888</v>
      </c>
      <c r="AK94" s="3" t="n">
        <v>-120.058182054571</v>
      </c>
      <c r="AL94" s="3" t="n">
        <v>0.328970488055555</v>
      </c>
      <c r="AM94" s="3" t="n">
        <v>-50.6931649311163</v>
      </c>
      <c r="AN94" s="3" t="n">
        <v>0.1394521075</v>
      </c>
      <c r="AO94" s="3" t="n">
        <v>50.1897338958262</v>
      </c>
      <c r="AP94" s="3" t="n">
        <v>0.378179468888888</v>
      </c>
      <c r="AQ94" s="3" t="n">
        <v>173.95017004909</v>
      </c>
      <c r="AR94" s="3" t="n">
        <v>25.5473353611111</v>
      </c>
      <c r="AS94" s="3" t="n">
        <v>5.88573109444444</v>
      </c>
      <c r="AT94" s="3" t="n">
        <v>18.8625872777777</v>
      </c>
      <c r="AU94" s="3" t="n">
        <v>48.1922598916666</v>
      </c>
      <c r="AV94" s="3" t="n">
        <v>48.5527052361111</v>
      </c>
      <c r="AW94" s="3" t="n">
        <v>48.1919934416666</v>
      </c>
      <c r="AX94" s="168" t="n">
        <v>2.58054879276636E-016</v>
      </c>
      <c r="AY94" s="168" t="n">
        <v>2.61929465123014E-016</v>
      </c>
      <c r="AZ94" s="168" t="n">
        <v>2.58052025821066E-016</v>
      </c>
      <c r="BA94" s="3" t="n">
        <v>24.2575938694444</v>
      </c>
      <c r="BB94" s="3" t="n">
        <v>24.2108089972222</v>
      </c>
      <c r="BC94" s="3" t="n">
        <v>24.2048318916666</v>
      </c>
      <c r="BD94" s="3" t="n">
        <v>0.040437684531965</v>
      </c>
      <c r="BE94" s="3" t="n">
        <v>0.0214753616716537</v>
      </c>
      <c r="BF94" s="3" t="n">
        <v>0.0412817567354855</v>
      </c>
      <c r="BG94" s="3" t="n">
        <v>0.980920718003964</v>
      </c>
      <c r="BH94" s="3" t="n">
        <v>0.519935667479895</v>
      </c>
      <c r="BI94" s="3" t="n">
        <v>0.9992180997691</v>
      </c>
      <c r="BJ94" s="3" t="n">
        <v>18.9737882583333</v>
      </c>
      <c r="BK94" s="3" t="n">
        <v>18.6039349</v>
      </c>
      <c r="BL94" s="3" t="n">
        <v>18.7022346083333</v>
      </c>
      <c r="BM94" s="3" t="n">
        <v>0.00267493114104426</v>
      </c>
      <c r="BN94" s="3" t="n">
        <v>0.00355868802747359</v>
      </c>
      <c r="BO94" s="3" t="n">
        <v>0.0103430930540841</v>
      </c>
      <c r="BP94" s="3" t="n">
        <v>0.0507535699449832</v>
      </c>
      <c r="BQ94" s="3" t="n">
        <v>0.0662055864436002</v>
      </c>
      <c r="BR94" s="3" t="n">
        <v>0.19343895128889</v>
      </c>
      <c r="BS94" s="169"/>
      <c r="BT94" s="169"/>
      <c r="BU94" s="169"/>
      <c r="BV94" s="169"/>
      <c r="BW94" s="169"/>
      <c r="BX94" s="169"/>
      <c r="BY94" s="169"/>
    </row>
    <row r="95" customFormat="false" ht="12.75" hidden="false" customHeight="false" outlineLevel="0" collapsed="false">
      <c r="A95" s="3" t="n">
        <v>2</v>
      </c>
      <c r="B95" s="3" t="n">
        <v>2.2</v>
      </c>
      <c r="C95" s="3" t="s">
        <v>244</v>
      </c>
      <c r="D95" s="3" t="s">
        <v>246</v>
      </c>
      <c r="E95" s="3" t="n">
        <v>1772.1047425</v>
      </c>
      <c r="F95" s="3" t="n">
        <v>1651.10761055555</v>
      </c>
      <c r="G95" s="3" t="n">
        <v>1436.36173089274</v>
      </c>
      <c r="H95" s="3" t="n">
        <v>120.997131944444</v>
      </c>
      <c r="I95" s="3" t="n">
        <v>214.745879662812</v>
      </c>
      <c r="J95" s="3" t="n">
        <v>335.743011607257</v>
      </c>
      <c r="K95" s="3" t="n">
        <v>281.439467222222</v>
      </c>
      <c r="L95" s="3" t="n">
        <v>-29.9999999999999</v>
      </c>
      <c r="M95" s="3" t="n">
        <v>487.750059722222</v>
      </c>
      <c r="N95" s="3" t="n">
        <v>0</v>
      </c>
      <c r="O95" s="3" t="n">
        <v>281.634124722222</v>
      </c>
      <c r="P95" s="3" t="n">
        <v>-150</v>
      </c>
      <c r="Q95" s="3" t="n">
        <v>487.576609444444</v>
      </c>
      <c r="R95" s="3" t="n">
        <v>-120.039450401876</v>
      </c>
      <c r="S95" s="3" t="n">
        <v>281.339269166666</v>
      </c>
      <c r="T95" s="3" t="n">
        <v>90</v>
      </c>
      <c r="U95" s="3" t="n">
        <v>487.268999166666</v>
      </c>
      <c r="V95" s="3" t="n">
        <v>120.004169220224</v>
      </c>
      <c r="W95" s="3" t="n">
        <v>1.86193205277777</v>
      </c>
      <c r="X95" s="3" t="n">
        <v>-19.5122698588801</v>
      </c>
      <c r="Y95" s="3" t="n">
        <v>3.29188723333333</v>
      </c>
      <c r="Z95" s="3" t="n">
        <v>-162.260905167361</v>
      </c>
      <c r="AA95" s="3" t="n">
        <v>2.45623722222222</v>
      </c>
      <c r="AB95" s="3" t="n">
        <v>52.6687886355934</v>
      </c>
      <c r="AC95" s="3" t="n">
        <v>479.884126388888</v>
      </c>
      <c r="AD95" s="3" t="n">
        <v>833.1449075</v>
      </c>
      <c r="AE95" s="3" t="n">
        <v>459.075708611111</v>
      </c>
      <c r="AF95" s="3" t="n">
        <v>119.586290277777</v>
      </c>
      <c r="AG95" s="3" t="n">
        <v>-0.484655485511259</v>
      </c>
      <c r="AH95" s="3" t="n">
        <v>122.289059166666</v>
      </c>
      <c r="AI95" s="3" t="n">
        <v>119.927470038197</v>
      </c>
      <c r="AJ95" s="3" t="n">
        <v>119.415937222222</v>
      </c>
      <c r="AK95" s="3" t="n">
        <v>-120.492083632168</v>
      </c>
      <c r="AL95" s="3" t="n">
        <v>6.82982716944444</v>
      </c>
      <c r="AM95" s="3" t="n">
        <v>-16.1247421874281</v>
      </c>
      <c r="AN95" s="3" t="n">
        <v>1.88954870555555</v>
      </c>
      <c r="AO95" s="3" t="n">
        <v>61.7913859299776</v>
      </c>
      <c r="AP95" s="3" t="n">
        <v>9.06047331944444</v>
      </c>
      <c r="AQ95" s="3" t="n">
        <v>-167.148703178724</v>
      </c>
      <c r="AR95" s="3" t="n">
        <v>786.510389166666</v>
      </c>
      <c r="AS95" s="3" t="n">
        <v>121.983364722222</v>
      </c>
      <c r="AT95" s="3" t="n">
        <v>742.613856666666</v>
      </c>
      <c r="AU95" s="3" t="n">
        <v>48.1810767777777</v>
      </c>
      <c r="AV95" s="3" t="n">
        <v>48.5536397611111</v>
      </c>
      <c r="AW95" s="3" t="n">
        <v>48.1987045611111</v>
      </c>
      <c r="AX95" s="3" t="n">
        <v>580.354039914718</v>
      </c>
      <c r="AY95" s="168" t="n">
        <v>2.61939548359099E-016</v>
      </c>
      <c r="AZ95" s="3" t="n">
        <v>559.78677626769</v>
      </c>
      <c r="BA95" s="3" t="n">
        <v>24.1774019055555</v>
      </c>
      <c r="BB95" s="3" t="n">
        <v>24.1020469305555</v>
      </c>
      <c r="BC95" s="3" t="n">
        <v>24.1482586138888</v>
      </c>
      <c r="BD95" s="3" t="n">
        <v>1.12790288943622</v>
      </c>
      <c r="BE95" s="3" t="n">
        <v>1.15562154722783</v>
      </c>
      <c r="BF95" s="3" t="n">
        <v>1.1066458295781</v>
      </c>
      <c r="BG95" s="3" t="n">
        <v>27.2695229503842</v>
      </c>
      <c r="BH95" s="3" t="n">
        <v>27.8525966552544</v>
      </c>
      <c r="BI95" s="3" t="n">
        <v>26.7231991812695</v>
      </c>
      <c r="BJ95" s="3" t="n">
        <v>18.2988725277777</v>
      </c>
      <c r="BK95" s="3" t="n">
        <v>18.1799889611111</v>
      </c>
      <c r="BL95" s="3" t="n">
        <v>18.2348364944444</v>
      </c>
      <c r="BM95" s="3" t="n">
        <v>3.9717416784196</v>
      </c>
      <c r="BN95" s="3" t="n">
        <v>3.87807671339504</v>
      </c>
      <c r="BO95" s="3" t="n">
        <v>3.90427442828854</v>
      </c>
      <c r="BP95" s="3" t="n">
        <v>72.678397677707</v>
      </c>
      <c r="BQ95" s="3" t="n">
        <v>70.5033893876772</v>
      </c>
      <c r="BR95" s="3" t="n">
        <v>71.193808858041</v>
      </c>
      <c r="BS95" s="169"/>
      <c r="BT95" s="169"/>
      <c r="BU95" s="169"/>
      <c r="BV95" s="169"/>
      <c r="BW95" s="169"/>
      <c r="BX95" s="169"/>
      <c r="BY95" s="169"/>
    </row>
    <row r="96" customFormat="false" ht="12.75" hidden="false" customHeight="false" outlineLevel="0" collapsed="false">
      <c r="A96" s="3" t="n">
        <v>2</v>
      </c>
      <c r="B96" s="3" t="n">
        <v>2.3</v>
      </c>
      <c r="C96" s="3" t="s">
        <v>244</v>
      </c>
      <c r="D96" s="3" t="s">
        <v>246</v>
      </c>
      <c r="E96" s="3" t="n">
        <v>1839.23602805555</v>
      </c>
      <c r="F96" s="3" t="n">
        <v>1709.4192475</v>
      </c>
      <c r="G96" s="3" t="n">
        <v>1493.56058126488</v>
      </c>
      <c r="H96" s="3" t="n">
        <v>129.816780555555</v>
      </c>
      <c r="I96" s="3" t="n">
        <v>215.85866623511</v>
      </c>
      <c r="J96" s="3" t="n">
        <v>345.675446790666</v>
      </c>
      <c r="K96" s="3" t="n">
        <v>281.479341388888</v>
      </c>
      <c r="L96" s="3" t="n">
        <v>-29.9999999999999</v>
      </c>
      <c r="M96" s="3" t="n">
        <v>487.825771944444</v>
      </c>
      <c r="N96" s="3" t="n">
        <v>0</v>
      </c>
      <c r="O96" s="3" t="n">
        <v>281.720978888888</v>
      </c>
      <c r="P96" s="3" t="n">
        <v>-150</v>
      </c>
      <c r="Q96" s="3" t="n">
        <v>487.795205833333</v>
      </c>
      <c r="R96" s="3" t="n">
        <v>-120.057765197127</v>
      </c>
      <c r="S96" s="3" t="n">
        <v>281.461685833333</v>
      </c>
      <c r="T96" s="3" t="n">
        <v>90</v>
      </c>
      <c r="U96" s="3" t="n">
        <v>487.406960833333</v>
      </c>
      <c r="V96" s="3" t="n">
        <v>119.983169650775</v>
      </c>
      <c r="W96" s="3" t="n">
        <v>2.27954697777777</v>
      </c>
      <c r="X96" s="3" t="n">
        <v>-52.392472211211</v>
      </c>
      <c r="Y96" s="3" t="n">
        <v>2.74718137777777</v>
      </c>
      <c r="Z96" s="3" t="n">
        <v>-162.549871935741</v>
      </c>
      <c r="AA96" s="3" t="n">
        <v>2.97260501944444</v>
      </c>
      <c r="AB96" s="3" t="n">
        <v>69.5029530346621</v>
      </c>
      <c r="AC96" s="3" t="n">
        <v>509.957474444444</v>
      </c>
      <c r="AD96" s="3" t="n">
        <v>635.114791388888</v>
      </c>
      <c r="AE96" s="3" t="n">
        <v>694.163762222222</v>
      </c>
      <c r="AF96" s="3" t="n">
        <v>121.235905277777</v>
      </c>
      <c r="AG96" s="3" t="n">
        <v>-0.276787891198405</v>
      </c>
      <c r="AH96" s="3" t="n">
        <v>120.433527777777</v>
      </c>
      <c r="AI96" s="3" t="n">
        <v>119.630726208389</v>
      </c>
      <c r="AJ96" s="3" t="n">
        <v>119.400097777777</v>
      </c>
      <c r="AK96" s="3" t="n">
        <v>-120.448941524206</v>
      </c>
      <c r="AL96" s="3" t="n">
        <v>3.75532715833333</v>
      </c>
      <c r="AM96" s="3" t="n">
        <v>-26.9967724563181</v>
      </c>
      <c r="AN96" s="3" t="n">
        <v>7.00219398055555</v>
      </c>
      <c r="AO96" s="3" t="n">
        <v>71.3042990200291</v>
      </c>
      <c r="AP96" s="3" t="n">
        <v>9.11721534444444</v>
      </c>
      <c r="AQ96" s="3" t="n">
        <v>-167.474931708692</v>
      </c>
      <c r="AR96" s="3" t="n">
        <v>406.662934166666</v>
      </c>
      <c r="AS96" s="3" t="n">
        <v>560.697278888889</v>
      </c>
      <c r="AT96" s="3" t="n">
        <v>742.059034444444</v>
      </c>
      <c r="AU96" s="3" t="n">
        <v>48.1904314583333</v>
      </c>
      <c r="AV96" s="3" t="n">
        <v>47.7712339833333</v>
      </c>
      <c r="AW96" s="3" t="n">
        <v>48.2031498027777</v>
      </c>
      <c r="AX96" s="3" t="n">
        <v>231.306542252145</v>
      </c>
      <c r="AY96" s="3" t="n">
        <v>404.626029793336</v>
      </c>
      <c r="AZ96" s="3" t="n">
        <v>559.890037554888</v>
      </c>
      <c r="BA96" s="3" t="n">
        <v>24.1606409916666</v>
      </c>
      <c r="BB96" s="3" t="n">
        <v>24.0852718472222</v>
      </c>
      <c r="BC96" s="3" t="n">
        <v>24.1183086416666</v>
      </c>
      <c r="BD96" s="3" t="n">
        <v>1.14846517981081</v>
      </c>
      <c r="BE96" s="3" t="n">
        <v>1.17527109402314</v>
      </c>
      <c r="BF96" s="3" t="n">
        <v>1.1276632416223</v>
      </c>
      <c r="BG96" s="3" t="n">
        <v>27.7476310630291</v>
      </c>
      <c r="BH96" s="3" t="n">
        <v>28.3066999230687</v>
      </c>
      <c r="BI96" s="3" t="n">
        <v>27.1972932180435</v>
      </c>
      <c r="BJ96" s="3" t="n">
        <v>18.2952515583333</v>
      </c>
      <c r="BK96" s="3" t="n">
        <v>18.1893220333333</v>
      </c>
      <c r="BL96" s="3" t="n">
        <v>18.2424152888888</v>
      </c>
      <c r="BM96" s="3" t="n">
        <v>3.97192098389771</v>
      </c>
      <c r="BN96" s="3" t="n">
        <v>3.87537567310962</v>
      </c>
      <c r="BO96" s="3" t="n">
        <v>3.91004170122548</v>
      </c>
      <c r="BP96" s="3" t="n">
        <v>72.6672938600623</v>
      </c>
      <c r="BQ96" s="3" t="n">
        <v>70.4904429553328</v>
      </c>
      <c r="BR96" s="3" t="n">
        <v>71.3286106449815</v>
      </c>
      <c r="BS96" s="169"/>
      <c r="BT96" s="169"/>
      <c r="BU96" s="169"/>
      <c r="BV96" s="169"/>
      <c r="BW96" s="169"/>
      <c r="BX96" s="169"/>
      <c r="BY96" s="169"/>
    </row>
    <row r="97" customFormat="false" ht="12.75" hidden="false" customHeight="false" outlineLevel="0" collapsed="false">
      <c r="A97" s="3" t="n">
        <v>2</v>
      </c>
      <c r="B97" s="3" t="n">
        <v>2.4</v>
      </c>
      <c r="C97" s="3" t="s">
        <v>244</v>
      </c>
      <c r="D97" s="3" t="s">
        <v>246</v>
      </c>
      <c r="E97" s="3" t="n">
        <v>1583.88683944444</v>
      </c>
      <c r="F97" s="3" t="n">
        <v>1482.27991</v>
      </c>
      <c r="G97" s="3" t="n">
        <v>1283.03570047837</v>
      </c>
      <c r="H97" s="3" t="n">
        <v>101.606929444444</v>
      </c>
      <c r="I97" s="3" t="n">
        <v>199.244209521626</v>
      </c>
      <c r="J97" s="3" t="n">
        <v>300.851138966071</v>
      </c>
      <c r="K97" s="3" t="n">
        <v>281.298532777777</v>
      </c>
      <c r="L97" s="3" t="n">
        <v>-29.9999999999999</v>
      </c>
      <c r="M97" s="3" t="n">
        <v>487.509696666666</v>
      </c>
      <c r="N97" s="3" t="n">
        <v>0</v>
      </c>
      <c r="O97" s="3" t="n">
        <v>281.5910575</v>
      </c>
      <c r="P97" s="3" t="n">
        <v>-150</v>
      </c>
      <c r="Q97" s="3" t="n">
        <v>487.664163055555</v>
      </c>
      <c r="R97" s="3" t="n">
        <v>-120.058117071068</v>
      </c>
      <c r="S97" s="3" t="n">
        <v>281.387769166666</v>
      </c>
      <c r="T97" s="3" t="n">
        <v>90</v>
      </c>
      <c r="U97" s="3" t="n">
        <v>487.187806111111</v>
      </c>
      <c r="V97" s="3" t="n">
        <v>119.964063383525</v>
      </c>
      <c r="W97" s="3" t="n">
        <v>2.80427226111111</v>
      </c>
      <c r="X97" s="3" t="n">
        <v>-38.0748946634921</v>
      </c>
      <c r="Y97" s="3" t="n">
        <v>2.02844293055555</v>
      </c>
      <c r="Z97" s="3" t="n">
        <v>-177.24652648347</v>
      </c>
      <c r="AA97" s="3" t="n">
        <v>1.79622701388888</v>
      </c>
      <c r="AB97" s="3" t="n">
        <v>74.8945426282914</v>
      </c>
      <c r="AC97" s="3" t="n">
        <v>708.076104444444</v>
      </c>
      <c r="AD97" s="3" t="n">
        <v>500.604071666666</v>
      </c>
      <c r="AE97" s="3" t="n">
        <v>375.206663333333</v>
      </c>
      <c r="AF97" s="3" t="n">
        <v>119.449676111111</v>
      </c>
      <c r="AG97" s="3" t="n">
        <v>-0.565082370909683</v>
      </c>
      <c r="AH97" s="3" t="n">
        <v>120.325397777777</v>
      </c>
      <c r="AI97" s="3" t="n">
        <v>119.684772028239</v>
      </c>
      <c r="AJ97" s="3" t="n">
        <v>122.276997222222</v>
      </c>
      <c r="AK97" s="3" t="n">
        <v>-120.144232514165</v>
      </c>
      <c r="AL97" s="3" t="n">
        <v>6.83811391666666</v>
      </c>
      <c r="AM97" s="3" t="n">
        <v>-16.3359559856928</v>
      </c>
      <c r="AN97" s="3" t="n">
        <v>6.98133484722222</v>
      </c>
      <c r="AO97" s="3" t="n">
        <v>71.5611657335856</v>
      </c>
      <c r="AP97" s="3" t="n">
        <v>1.81849502222222</v>
      </c>
      <c r="AQ97" s="3" t="n">
        <v>-172.608213966414</v>
      </c>
      <c r="AR97" s="3" t="n">
        <v>786.062300555555</v>
      </c>
      <c r="AS97" s="3" t="n">
        <v>560.742585</v>
      </c>
      <c r="AT97" s="3" t="n">
        <v>135.475024444444</v>
      </c>
      <c r="AU97" s="3" t="n">
        <v>48.183818975</v>
      </c>
      <c r="AV97" s="3" t="n">
        <v>47.7792802805555</v>
      </c>
      <c r="AW97" s="3" t="n">
        <v>48.1976269333333</v>
      </c>
      <c r="AX97" s="3" t="n">
        <v>580.420102823174</v>
      </c>
      <c r="AY97" s="3" t="n">
        <v>404.762345277649</v>
      </c>
      <c r="AZ97" s="168" t="n">
        <v>2.58112360329432E-016</v>
      </c>
      <c r="BA97" s="3" t="n">
        <v>24.1602291555555</v>
      </c>
      <c r="BB97" s="3" t="n">
        <v>24.0832912916666</v>
      </c>
      <c r="BC97" s="3" t="n">
        <v>24.1108997444444</v>
      </c>
      <c r="BD97" s="3" t="n">
        <v>1.15507138951189</v>
      </c>
      <c r="BE97" s="3" t="n">
        <v>1.17157135128954</v>
      </c>
      <c r="BF97" s="3" t="n">
        <v>1.12915539737083</v>
      </c>
      <c r="BG97" s="3" t="n">
        <v>27.9067445872952</v>
      </c>
      <c r="BH97" s="3" t="n">
        <v>28.2152515110935</v>
      </c>
      <c r="BI97" s="3" t="n">
        <v>27.22492424866</v>
      </c>
      <c r="BJ97" s="3" t="n">
        <v>18.2945076194444</v>
      </c>
      <c r="BK97" s="3" t="n">
        <v>18.1949546</v>
      </c>
      <c r="BL97" s="3" t="n">
        <v>18.2473105777777</v>
      </c>
      <c r="BM97" s="3" t="n">
        <v>3.97269901094911</v>
      </c>
      <c r="BN97" s="3" t="n">
        <v>3.87359540272035</v>
      </c>
      <c r="BO97" s="3" t="n">
        <v>3.91004777463142</v>
      </c>
      <c r="BP97" s="3" t="n">
        <v>72.6785743423376</v>
      </c>
      <c r="BQ97" s="3" t="n">
        <v>70.4798833487595</v>
      </c>
      <c r="BR97" s="3" t="n">
        <v>71.3478743394033</v>
      </c>
      <c r="BS97" s="169"/>
      <c r="BT97" s="169"/>
      <c r="BU97" s="169"/>
      <c r="BV97" s="169"/>
      <c r="BW97" s="169"/>
      <c r="BX97" s="169"/>
      <c r="BY97" s="169"/>
    </row>
    <row r="98" customFormat="false" ht="12.75" hidden="false" customHeight="false" outlineLevel="0" collapsed="false">
      <c r="A98" s="3" t="n">
        <v>1</v>
      </c>
      <c r="B98" s="3" t="n">
        <v>1.1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8"/>
      <c r="BE98" s="168"/>
      <c r="BF98" s="168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 t="n">
        <f aca="false">IFERROR(__xludf.dummyfunction("COVARIANCE.S(FILTER(BA$2:BA$105,$B$2:$B$105 = $B98, $C$2:$C$105 &lt;&gt; $C98, $D$2:$D$105 = ""Mean""),FILTER(BD$2:BD$105,$B$2:$B$105 = $B98, $C$2:$C$105 &lt;&gt; $C98, $D$2:$D$105 = ""Mean""))"),0.000000549391816577461)</f>
        <v>5.49391816577461E-007</v>
      </c>
      <c r="BT98" s="169" t="n">
        <f aca="false">IFERROR(__xludf.dummyfunction("COVARIANCE.S(FILTER(BB$2:BB$105,$B$2:$B$105 = $B98, $C$2:$C$105 &lt;&gt; $C98, $D$2:$D$105 = ""Mean""),FILTER(BE$2:BE$105,$B$2:$B$105 = $B98, $C$2:$C$105 &lt;&gt; $C98, $D$2:$D$105 = ""Mean""))"),0.000000763537714887575)</f>
        <v>7.63537714887575E-007</v>
      </c>
      <c r="BU98" s="169" t="n">
        <f aca="false">IFERROR(__xludf.dummyfunction("COVARIANCE.S(FILTER(BC$2:BC$105,$B$2:$B$105 = $B98, $C$2:$C$105 &lt;&gt; $C98, $D$2:$D$105 = ""Mean""),FILTER(BF$2:BF$105,$B$2:$B$105 = $B98, $C$2:$C$105 &lt;&gt; $C98, $D$2:$D$105 = ""Mean""))"),0.000000154893714165087)</f>
        <v>1.54893714165087E-007</v>
      </c>
      <c r="BV98" s="169" t="n">
        <f aca="false">IFERROR(__xludf.dummyfunction("COVARIANCE.S(FILTER(BJ$2:BJ$105,$B$2:$B$105 = $B98, $C$2:$C$105 &lt;&gt; $C98, $D$2:$D$105 = ""Mean""),FILTER(BM$2:BM$105,$B$2:$B$105 = $B98, $C$2:$C$105 &lt;&gt; $C98, $D$2:$D$105 = ""Mean""))"),0.000000428554568453068)</f>
        <v>4.28554568453068E-007</v>
      </c>
      <c r="BW98" s="169" t="n">
        <f aca="false">IFERROR(__xludf.dummyfunction("COVARIANCE.S(FILTER(BK$2:BK$105,$B$2:$B$105 = $B98, $C$2:$C$105 &lt;&gt; $C98, $D$2:$D$105 = ""Mean""),FILTER(BN$2:BN$105,$B$2:$B$105 = $B98, $C$2:$C$105 &lt;&gt; $C98, $D$2:$D$105 = ""Mean""))"),-0.0000000992944080651717)</f>
        <v>-9.92944080651717E-008</v>
      </c>
      <c r="BX98" s="169" t="n">
        <f aca="false">IFERROR(__xludf.dummyfunction("COVARIANCE.S(FILTER(BL$2:BL$105,$B$2:$B$105 = $B98, $C$2:$C$105 &lt;&gt; $C98, $D$2:$D$105 = ""Mean""),FILTER(BO$2:BO$105,$B$2:$B$105 = $B98, $C$2:$C$105 &lt;&gt; $C98, $D$2:$D$105 = ""Mean""))"),0.0000000433724099824134)</f>
        <v>4.33724099824134E-008</v>
      </c>
      <c r="BY98" s="169"/>
    </row>
    <row r="99" customFormat="false" ht="12.75" hidden="false" customHeight="false" outlineLevel="0" collapsed="false">
      <c r="A99" s="3" t="n">
        <v>1</v>
      </c>
      <c r="B99" s="3" t="n">
        <v>1.2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8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 t="n">
        <f aca="false">IFERROR(__xludf.dummyfunction("COVARIANCE.S(FILTER(BA$2:BA$105,$B$2:$B$105 = $B99, $C$2:$C$105 &lt;&gt; $C99, $D$2:$D$105 = ""Mean""),FILTER(BD$2:BD$105,$B$2:$B$105 = $B99, $C$2:$C$105 &lt;&gt; $C99, $D$2:$D$105 = ""Mean""))"),-0.000157082650238035)</f>
        <v>-0.000157082650238035</v>
      </c>
      <c r="BT99" s="169" t="n">
        <f aca="false">IFERROR(__xludf.dummyfunction("COVARIANCE.S(FILTER(BB$2:BB$105,$B$2:$B$105 = $B99, $C$2:$C$105 &lt;&gt; $C99, $D$2:$D$105 = ""Mean""),FILTER(BE$2:BE$105,$B$2:$B$105 = $B99, $C$2:$C$105 &lt;&gt; $C99, $D$2:$D$105 = ""Mean""))"),-0.000164568223622615)</f>
        <v>-0.000164568223622615</v>
      </c>
      <c r="BU99" s="169" t="n">
        <f aca="false">IFERROR(__xludf.dummyfunction("COVARIANCE.S(FILTER(BC$2:BC$105,$B$2:$B$105 = $B99, $C$2:$C$105 &lt;&gt; $C99, $D$2:$D$105 = ""Mean""),FILTER(BF$2:BF$105,$B$2:$B$105 = $B99, $C$2:$C$105 &lt;&gt; $C99, $D$2:$D$105 = ""Mean""))"),-0.000168513794088508)</f>
        <v>-0.000168513794088508</v>
      </c>
      <c r="BV99" s="169" t="n">
        <f aca="false">IFERROR(__xludf.dummyfunction("COVARIANCE.S(FILTER(BJ$2:BJ$105,$B$2:$B$105 = $B99, $C$2:$C$105 &lt;&gt; $C99, $D$2:$D$105 = ""Mean""),FILTER(BM$2:BM$105,$B$2:$B$105 = $B99, $C$2:$C$105 &lt;&gt; $C99, $D$2:$D$105 = ""Mean""))"),0.0000210317331705007)</f>
        <v>2.10317331705007E-005</v>
      </c>
      <c r="BW99" s="169" t="n">
        <f aca="false">IFERROR(__xludf.dummyfunction("COVARIANCE.S(FILTER(BK$2:BK$105,$B$2:$B$105 = $B99, $C$2:$C$105 &lt;&gt; $C99, $D$2:$D$105 = ""Mean""),FILTER(BN$2:BN$105,$B$2:$B$105 = $B99, $C$2:$C$105 &lt;&gt; $C99, $D$2:$D$105 = ""Mean""))"),-0.00000553903115409621)</f>
        <v>-5.53903115409621E-006</v>
      </c>
      <c r="BX99" s="169" t="n">
        <f aca="false">IFERROR(__xludf.dummyfunction("COVARIANCE.S(FILTER(BL$2:BL$105,$B$2:$B$105 = $B99, $C$2:$C$105 &lt;&gt; $C99, $D$2:$D$105 = ""Mean""),FILTER(BO$2:BO$105,$B$2:$B$105 = $B99, $C$2:$C$105 &lt;&gt; $C99, $D$2:$D$105 = ""Mean""))"),-0.0000110348925368124)</f>
        <v>-1.10348925368124E-005</v>
      </c>
      <c r="BY99" s="169"/>
    </row>
    <row r="100" customFormat="false" ht="12.75" hidden="false" customHeight="false" outlineLevel="0" collapsed="false">
      <c r="A100" s="170" t="n">
        <v>1</v>
      </c>
      <c r="B100" s="170" t="n">
        <v>1.3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 t="n">
        <f aca="false">IFERROR(__xludf.dummyfunction("COVARIANCE.S(FILTER(BA$2:BA$105,$B$2:$B$105 = $B100, $C$2:$C$105 &lt;&gt; $C100, $D$2:$D$105 = ""Mean""),FILTER(BD$2:BD$105,$B$2:$B$105 = $B100, $C$2:$C$105 &lt;&gt; $C100, $D$2:$D$105 = ""Mean""))"),-0.0000011012919170509)</f>
        <v>-1.1012919170509E-006</v>
      </c>
      <c r="BT100" s="169" t="n">
        <f aca="false">IFERROR(__xludf.dummyfunction("COVARIANCE.S(FILTER(BB$2:BB$105,$B$2:$B$105 = $B100, $C$2:$C$105 &lt;&gt; $C100, $D$2:$D$105 = ""Mean""),FILTER(BE$2:BE$105,$B$2:$B$105 = $B100, $C$2:$C$105 &lt;&gt; $C100, $D$2:$D$105 = ""Mean""))"),-0.0000043872725029711)</f>
        <v>-4.3872725029711E-006</v>
      </c>
      <c r="BU100" s="169" t="n">
        <f aca="false">IFERROR(__xludf.dummyfunction("COVARIANCE.S(FILTER(BC$2:BC$105,$B$2:$B$105 = $B100, $C$2:$C$105 &lt;&gt; $C100, $D$2:$D$105 = ""Mean""),FILTER(BF$2:BF$105,$B$2:$B$105 = $B100, $C$2:$C$105 &lt;&gt; $C100, $D$2:$D$105 = ""Mean""))"),-0.00000344956849725216)</f>
        <v>-3.44956849725216E-006</v>
      </c>
      <c r="BV100" s="169" t="n">
        <f aca="false">IFERROR(__xludf.dummyfunction("COVARIANCE.S(FILTER(BJ$2:BJ$105,$B$2:$B$105 = $B100, $C$2:$C$105 &lt;&gt; $C100, $D$2:$D$105 = ""Mean""),FILTER(BM$2:BM$105,$B$2:$B$105 = $B100, $C$2:$C$105 &lt;&gt; $C100, $D$2:$D$105 = ""Mean""))"),-0.000000215829339893111)</f>
        <v>-2.15829339893111E-007</v>
      </c>
      <c r="BW100" s="169" t="n">
        <f aca="false">IFERROR(__xludf.dummyfunction("COVARIANCE.S(FILTER(BK$2:BK$105,$B$2:$B$105 = $B100, $C$2:$C$105 &lt;&gt; $C100, $D$2:$D$105 = ""Mean""),FILTER(BN$2:BN$105,$B$2:$B$105 = $B100, $C$2:$C$105 &lt;&gt; $C100, $D$2:$D$105 = ""Mean""))"),-0.00000273105699237727)</f>
        <v>-2.73105699237727E-006</v>
      </c>
      <c r="BX100" s="169" t="n">
        <f aca="false">IFERROR(__xludf.dummyfunction("COVARIANCE.S(FILTER(BL$2:BL$105,$B$2:$B$105 = $B100, $C$2:$C$105 &lt;&gt; $C100, $D$2:$D$105 = ""Mean""),FILTER(BO$2:BO$105,$B$2:$B$105 = $B100, $C$2:$C$105 &lt;&gt; $C100, $D$2:$D$105 = ""Mean""))"),0.0000403007322006718)</f>
        <v>4.03007322006718E-005</v>
      </c>
      <c r="BY100" s="3"/>
    </row>
    <row r="101" customFormat="false" ht="12.75" hidden="false" customHeight="false" outlineLevel="0" collapsed="false">
      <c r="A101" s="170" t="n">
        <v>1</v>
      </c>
      <c r="B101" s="170" t="n">
        <v>1.4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 t="n">
        <f aca="false">IFERROR(__xludf.dummyfunction("COVARIANCE.S(FILTER(BA$2:BA$105,$B$2:$B$105 = $B101, $C$2:$C$105 &lt;&gt; $C101, $D$2:$D$105 = ""Mean""),FILTER(BD$2:BD$105,$B$2:$B$105 = $B101, $C$2:$C$105 &lt;&gt; $C101, $D$2:$D$105 = ""Mean""))"),-0.00000557145014033246)</f>
        <v>-5.57145014033246E-006</v>
      </c>
      <c r="BT101" s="169" t="n">
        <f aca="false">IFERROR(__xludf.dummyfunction("COVARIANCE.S(FILTER(BB$2:BB$105,$B$2:$B$105 = $B101, $C$2:$C$105 &lt;&gt; $C101, $D$2:$D$105 = ""Mean""),FILTER(BE$2:BE$105,$B$2:$B$105 = $B101, $C$2:$C$105 &lt;&gt; $C101, $D$2:$D$105 = ""Mean""))"),-0.00000964943982237507)</f>
        <v>-9.64943982237507E-006</v>
      </c>
      <c r="BU101" s="169" t="n">
        <f aca="false">IFERROR(__xludf.dummyfunction("COVARIANCE.S(FILTER(BC$2:BC$105,$B$2:$B$105 = $B101, $C$2:$C$105 &lt;&gt; $C101, $D$2:$D$105 = ""Mean""),FILTER(BF$2:BF$105,$B$2:$B$105 = $B101, $C$2:$C$105 &lt;&gt; $C101, $D$2:$D$105 = ""Mean""))"),-0.00000275753689639367)</f>
        <v>-2.75753689639367E-006</v>
      </c>
      <c r="BV101" s="169" t="n">
        <f aca="false">IFERROR(__xludf.dummyfunction("COVARIANCE.S(FILTER(BJ$2:BJ$105,$B$2:$B$105 = $B101, $C$2:$C$105 &lt;&gt; $C101, $D$2:$D$105 = ""Mean""),FILTER(BM$2:BM$105,$B$2:$B$105 = $B101, $C$2:$C$105 &lt;&gt; $C101, $D$2:$D$105 = ""Mean""))"),0.000000433216135817856)</f>
        <v>4.33216135817856E-007</v>
      </c>
      <c r="BW101" s="169" t="n">
        <f aca="false">IFERROR(__xludf.dummyfunction("COVARIANCE.S(FILTER(BK$2:BK$105,$B$2:$B$105 = $B101, $C$2:$C$105 &lt;&gt; $C101, $D$2:$D$105 = ""Mean""),FILTER(BN$2:BN$105,$B$2:$B$105 = $B101, $C$2:$C$105 &lt;&gt; $C101, $D$2:$D$105 = ""Mean""))"),0.00000184125416369357)</f>
        <v>1.84125416369357E-006</v>
      </c>
      <c r="BX101" s="169" t="n">
        <f aca="false">IFERROR(__xludf.dummyfunction("COVARIANCE.S(FILTER(BL$2:BL$105,$B$2:$B$105 = $B101, $C$2:$C$105 &lt;&gt; $C101, $D$2:$D$105 = ""Mean""),FILTER(BO$2:BO$105,$B$2:$B$105 = $B101, $C$2:$C$105 &lt;&gt; $C101, $D$2:$D$105 = ""Mean""))"),-0.000000656151279384167)</f>
        <v>-6.56151279384167E-007</v>
      </c>
      <c r="BY101" s="3"/>
    </row>
    <row r="102" customFormat="false" ht="12.75" hidden="false" customHeight="false" outlineLevel="0" collapsed="false">
      <c r="A102" s="3" t="n">
        <v>2</v>
      </c>
      <c r="B102" s="3" t="n">
        <v>2.1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8"/>
      <c r="BE102" s="168"/>
      <c r="BF102" s="168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 t="n">
        <f aca="false">IFERROR(__xludf.dummyfunction("COVARIANCE.S(FILTER(BA$2:BA$105,$B$2:$B$105 = $B102, $C$2:$C$105 &lt;&gt; $C102, $D$2:$D$105 = ""Mean""),FILTER(BD$2:BD$105,$B$2:$B$105 = $B102, $C$2:$C$105 &lt;&gt; $C102, $D$2:$D$105 = ""Mean""))"),-0.000000308204134234144)</f>
        <v>-3.08204134234144E-007</v>
      </c>
      <c r="BT102" s="169" t="n">
        <f aca="false">IFERROR(__xludf.dummyfunction("COVARIANCE.S(FILTER(BB$2:BB$105,$B$2:$B$105 = $B102, $C$2:$C$105 &lt;&gt; $C102, $D$2:$D$105 = ""Mean""),FILTER(BE$2:BE$105,$B$2:$B$105 = $B102, $C$2:$C$105 &lt;&gt; $C102, $D$2:$D$105 = ""Mean""))"),-0.000000261108450182011)</f>
        <v>-2.61108450182011E-007</v>
      </c>
      <c r="BU102" s="169" t="n">
        <f aca="false">IFERROR(__xludf.dummyfunction("COVARIANCE.S(FILTER(BC$2:BC$105,$B$2:$B$105 = $B102, $C$2:$C$105 &lt;&gt; $C102, $D$2:$D$105 = ""Mean""),FILTER(BF$2:BF$105,$B$2:$B$105 = $B102, $C$2:$C$105 &lt;&gt; $C102, $D$2:$D$105 = ""Mean""))"),0.000000127394810804201)</f>
        <v>1.27394810804201E-007</v>
      </c>
      <c r="BV102" s="169" t="n">
        <f aca="false">IFERROR(__xludf.dummyfunction("COVARIANCE.S(FILTER(BJ$2:BJ$105,$B$2:$B$105 = $B102, $C$2:$C$105 &lt;&gt; $C102, $D$2:$D$105 = ""Mean""),FILTER(BM$2:BM$105,$B$2:$B$105 = $B102, $C$2:$C$105 &lt;&gt; $C102, $D$2:$D$105 = ""Mean""))"),-0.00000000213234753461702)</f>
        <v>-2.13234753461702E-009</v>
      </c>
      <c r="BW102" s="169" t="n">
        <f aca="false">IFERROR(__xludf.dummyfunction("COVARIANCE.S(FILTER(BK$2:BK$105,$B$2:$B$105 = $B102, $C$2:$C$105 &lt;&gt; $C102, $D$2:$D$105 = ""Mean""),FILTER(BN$2:BN$105,$B$2:$B$105 = $B102, $C$2:$C$105 &lt;&gt; $C102, $D$2:$D$105 = ""Mean""))"),-0.000000019463127876287)</f>
        <v>-1.9463127876287E-008</v>
      </c>
      <c r="BX102" s="169" t="n">
        <f aca="false">IFERROR(__xludf.dummyfunction("COVARIANCE.S(FILTER(BL$2:BL$105,$B$2:$B$105 = $B102, $C$2:$C$105 &lt;&gt; $C102, $D$2:$D$105 = ""Mean""),FILTER(BO$2:BO$105,$B$2:$B$105 = $B102, $C$2:$C$105 &lt;&gt; $C102, $D$2:$D$105 = ""Mean""))"),-0.00000000194946557102508)</f>
        <v>-1.94946557102508E-009</v>
      </c>
      <c r="BY102" s="169"/>
    </row>
    <row r="103" customFormat="false" ht="12.75" hidden="false" customHeight="false" outlineLevel="0" collapsed="false">
      <c r="A103" s="3" t="n">
        <v>2</v>
      </c>
      <c r="B103" s="3" t="n">
        <v>2.2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8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 t="n">
        <f aca="false">IFERROR(__xludf.dummyfunction("COVARIANCE.S(FILTER(BA$2:BA$105,$B$2:$B$105 = $B103, $C$2:$C$105 &lt;&gt; $C103, $D$2:$D$105 = ""Mean""),FILTER(BD$2:BD$105,$B$2:$B$105 = $B103, $C$2:$C$105 &lt;&gt; $C103, $D$2:$D$105 = ""Mean""))"),-0.000336624994455249)</f>
        <v>-0.000336624994455249</v>
      </c>
      <c r="BT103" s="169" t="n">
        <f aca="false">IFERROR(__xludf.dummyfunction("COVARIANCE.S(FILTER(BB$2:BB$105,$B$2:$B$105 = $B103, $C$2:$C$105 &lt;&gt; $C103, $D$2:$D$105 = ""Mean""),FILTER(BE$2:BE$105,$B$2:$B$105 = $B103, $C$2:$C$105 &lt;&gt; $C103, $D$2:$D$105 = ""Mean""))"),-0.000351667338928655)</f>
        <v>-0.000351667338928655</v>
      </c>
      <c r="BU103" s="169" t="n">
        <f aca="false">IFERROR(__xludf.dummyfunction("COVARIANCE.S(FILTER(BC$2:BC$105,$B$2:$B$105 = $B103, $C$2:$C$105 &lt;&gt; $C103, $D$2:$D$105 = ""Mean""),FILTER(BF$2:BF$105,$B$2:$B$105 = $B103, $C$2:$C$105 &lt;&gt; $C103, $D$2:$D$105 = ""Mean""))"),-0.00052958572844169)</f>
        <v>-0.00052958572844169</v>
      </c>
      <c r="BV103" s="169" t="n">
        <f aca="false">IFERROR(__xludf.dummyfunction("COVARIANCE.S(FILTER(BJ$2:BJ$105,$B$2:$B$105 = $B103, $C$2:$C$105 &lt;&gt; $C103, $D$2:$D$105 = ""Mean""),FILTER(BM$2:BM$105,$B$2:$B$105 = $B103, $C$2:$C$105 &lt;&gt; $C103, $D$2:$D$105 = ""Mean""))"),0.00000358287549867577)</f>
        <v>3.58287549867577E-006</v>
      </c>
      <c r="BW103" s="169" t="n">
        <f aca="false">IFERROR(__xludf.dummyfunction("COVARIANCE.S(FILTER(BK$2:BK$105,$B$2:$B$105 = $B103, $C$2:$C$105 &lt;&gt; $C103, $D$2:$D$105 = ""Mean""),FILTER(BN$2:BN$105,$B$2:$B$105 = $B103, $C$2:$C$105 &lt;&gt; $C103, $D$2:$D$105 = ""Mean""))"),-0.0000000967895840725096)</f>
        <v>-9.67895840725096E-008</v>
      </c>
      <c r="BX103" s="169" t="n">
        <f aca="false">IFERROR(__xludf.dummyfunction("COVARIANCE.S(FILTER(BL$2:BL$105,$B$2:$B$105 = $B103, $C$2:$C$105 &lt;&gt; $C103, $D$2:$D$105 = ""Mean""),FILTER(BO$2:BO$105,$B$2:$B$105 = $B103, $C$2:$C$105 &lt;&gt; $C103, $D$2:$D$105 = ""Mean""))"),0.000000433979875187571)</f>
        <v>4.33979875187571E-007</v>
      </c>
      <c r="BY103" s="169"/>
    </row>
    <row r="104" customFormat="false" ht="12.75" hidden="false" customHeight="false" outlineLevel="0" collapsed="false">
      <c r="A104" s="170" t="n">
        <v>2</v>
      </c>
      <c r="B104" s="170" t="n">
        <v>2.3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 t="n">
        <f aca="false">IFERROR(__xludf.dummyfunction("COVARIANCE.S(FILTER(BA$2:BA$105,$B$2:$B$105 = $B104, $C$2:$C$105 &lt;&gt; $C104, $D$2:$D$105 = ""Mean""),FILTER(BD$2:BD$105,$B$2:$B$105 = $B104, $C$2:$C$105 &lt;&gt; $C104, $D$2:$D$105 = ""Mean""))"),-0.0000246262162694859)</f>
        <v>-2.46262162694859E-005</v>
      </c>
      <c r="BT104" s="169" t="n">
        <f aca="false">IFERROR(__xludf.dummyfunction("COVARIANCE.S(FILTER(BB$2:BB$105,$B$2:$B$105 = $B104, $C$2:$C$105 &lt;&gt; $C104, $D$2:$D$105 = ""Mean""),FILTER(BE$2:BE$105,$B$2:$B$105 = $B104, $C$2:$C$105 &lt;&gt; $C104, $D$2:$D$105 = ""Mean""))"),-0.0000242290061564653)</f>
        <v>-2.42290061564653E-005</v>
      </c>
      <c r="BU104" s="169" t="n">
        <f aca="false">IFERROR(__xludf.dummyfunction("COVARIANCE.S(FILTER(BC$2:BC$105,$B$2:$B$105 = $B104, $C$2:$C$105 &lt;&gt; $C104, $D$2:$D$105 = ""Mean""),FILTER(BF$2:BF$105,$B$2:$B$105 = $B104, $C$2:$C$105 &lt;&gt; $C104, $D$2:$D$105 = ""Mean""))"),-0.0000419388674987743)</f>
        <v>-4.19388674987743E-005</v>
      </c>
      <c r="BV104" s="169" t="n">
        <f aca="false">IFERROR(__xludf.dummyfunction("COVARIANCE.S(FILTER(BJ$2:BJ$105,$B$2:$B$105 = $B104, $C$2:$C$105 &lt;&gt; $C104, $D$2:$D$105 = ""Mean""),FILTER(BM$2:BM$105,$B$2:$B$105 = $B104, $C$2:$C$105 &lt;&gt; $C104, $D$2:$D$105 = ""Mean""))"),-0.0000000404093841517094)</f>
        <v>-4.04093841517094E-008</v>
      </c>
      <c r="BW104" s="169" t="n">
        <f aca="false">IFERROR(__xludf.dummyfunction("COVARIANCE.S(FILTER(BK$2:BK$105,$B$2:$B$105 = $B104, $C$2:$C$105 &lt;&gt; $C104, $D$2:$D$105 = ""Mean""),FILTER(BN$2:BN$105,$B$2:$B$105 = $B104, $C$2:$C$105 &lt;&gt; $C104, $D$2:$D$105 = ""Mean""))"),-0.0000158516567208976)</f>
        <v>-1.58516567208976E-005</v>
      </c>
      <c r="BX104" s="169" t="n">
        <f aca="false">IFERROR(__xludf.dummyfunction("COVARIANCE.S(FILTER(BL$2:BL$105,$B$2:$B$105 = $B104, $C$2:$C$105 &lt;&gt; $C104, $D$2:$D$105 = ""Mean""),FILTER(BO$2:BO$105,$B$2:$B$105 = $B104, $C$2:$C$105 &lt;&gt; $C104, $D$2:$D$105 = ""Mean""))"),0.0000026586948579305)</f>
        <v>2.6586948579305E-006</v>
      </c>
      <c r="BY104" s="3"/>
    </row>
    <row r="105" customFormat="false" ht="12.75" hidden="false" customHeight="false" outlineLevel="0" collapsed="false">
      <c r="A105" s="170" t="n">
        <v>2</v>
      </c>
      <c r="B105" s="170" t="n">
        <v>2.4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 t="n">
        <f aca="false">IFERROR(__xludf.dummyfunction("COVARIANCE.S(FILTER(BA$2:BA$105,$B$2:$B$105 = $B105, $C$2:$C$105 &lt;&gt; $C105, $D$2:$D$105 = ""Mean""),FILTER(BD$2:BD$105,$B$2:$B$105 = $B105, $C$2:$C$105 &lt;&gt; $C105, $D$2:$D$105 = ""Mean""))"),-0.0000541154704379495)</f>
        <v>-5.41154704379495E-005</v>
      </c>
      <c r="BT105" s="169" t="n">
        <f aca="false">IFERROR(__xludf.dummyfunction("COVARIANCE.S(FILTER(BB$2:BB$105,$B$2:$B$105 = $B105, $C$2:$C$105 &lt;&gt; $C105, $D$2:$D$105 = ""Mean""),FILTER(BE$2:BE$105,$B$2:$B$105 = $B105, $C$2:$C$105 &lt;&gt; $C105, $D$2:$D$105 = ""Mean""))"),-0.0000515202568266936)</f>
        <v>-5.15202568266936E-005</v>
      </c>
      <c r="BU105" s="169" t="n">
        <f aca="false">IFERROR(__xludf.dummyfunction("COVARIANCE.S(FILTER(BC$2:BC$105,$B$2:$B$105 = $B105, $C$2:$C$105 &lt;&gt; $C105, $D$2:$D$105 = ""Mean""),FILTER(BF$2:BF$105,$B$2:$B$105 = $B105, $C$2:$C$105 &lt;&gt; $C105, $D$2:$D$105 = ""Mean""))"),-0.000030517960148627)</f>
        <v>-3.0517960148627E-005</v>
      </c>
      <c r="BV105" s="169" t="n">
        <f aca="false">IFERROR(__xludf.dummyfunction("COVARIANCE.S(FILTER(BJ$2:BJ$105,$B$2:$B$105 = $B105, $C$2:$C$105 &lt;&gt; $C105, $D$2:$D$105 = ""Mean""),FILTER(BM$2:BM$105,$B$2:$B$105 = $B105, $C$2:$C$105 &lt;&gt; $C105, $D$2:$D$105 = ""Mean""))"),0.00000133514655683494)</f>
        <v>1.33514655683494E-006</v>
      </c>
      <c r="BW105" s="169" t="n">
        <f aca="false">IFERROR(__xludf.dummyfunction("COVARIANCE.S(FILTER(BK$2:BK$105,$B$2:$B$105 = $B105, $C$2:$C$105 &lt;&gt; $C105, $D$2:$D$105 = ""Mean""),FILTER(BN$2:BN$105,$B$2:$B$105 = $B105, $C$2:$C$105 &lt;&gt; $C105, $D$2:$D$105 = ""Mean""))"),-0.0000114541292221991)</f>
        <v>-1.14541292221991E-005</v>
      </c>
      <c r="BX105" s="169" t="n">
        <f aca="false">IFERROR(__xludf.dummyfunction("COVARIANCE.S(FILTER(BL$2:BL$105,$B$2:$B$105 = $B105, $C$2:$C$105 &lt;&gt; $C105, $D$2:$D$105 = ""Mean""),FILTER(BO$2:BO$105,$B$2:$B$105 = $B105, $C$2:$C$105 &lt;&gt; $C105, $D$2:$D$105 = ""Mean""))"),0.00000486576738782529)</f>
        <v>4.86576738782529E-006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0">
      <formula>$D2="Mean"</formula>
    </cfRule>
  </conditionalFormatting>
  <conditionalFormatting sqref="A2:BY105">
    <cfRule type="expression" priority="3" aboveAverage="0" equalAverage="0" bottom="0" percent="0" rank="0" text="" dxfId="1">
      <formula>$D2="Variance"</formula>
    </cfRule>
  </conditionalFormatting>
  <conditionalFormatting sqref="A2:BY105">
    <cfRule type="expression" priority="4" aboveAverage="0" equalAverage="0" bottom="0" percent="0" rank="0" text="" dxfId="2">
      <formula>$D2="Covariance"</formula>
    </cfRule>
  </conditionalFormatting>
  <conditionalFormatting sqref="A2:BY105">
    <cfRule type="expression" priority="5" aboveAverage="0" equalAverage="0" bottom="0" percent="0" rank="0" text="" dxfId="3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BY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3.7"/>
    <col collapsed="false" customWidth="true" hidden="false" outlineLevel="0" max="6" min="6" style="0" width="16"/>
    <col collapsed="false" customWidth="true" hidden="false" outlineLevel="0" max="7" min="7" style="0" width="14.69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4.6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9" min="17" style="0" width="14.69"/>
    <col collapsed="false" customWidth="true" hidden="false" outlineLevel="0" max="20" min="20" style="0" width="11.99"/>
    <col collapsed="false" customWidth="true" hidden="false" outlineLevel="0" max="21" min="21" style="0" width="13.7"/>
    <col collapsed="false" customWidth="true" hidden="false" outlineLevel="0" max="28" min="22" style="0" width="14.69"/>
    <col collapsed="false" customWidth="true" hidden="false" outlineLevel="0" max="31" min="29" style="0" width="18.58"/>
    <col collapsed="false" customWidth="true" hidden="false" outlineLevel="0" max="32" min="32" style="0" width="14.69"/>
    <col collapsed="false" customWidth="true" hidden="false" outlineLevel="0" max="33" min="33" style="0" width="14.15"/>
    <col collapsed="false" customWidth="true" hidden="false" outlineLevel="0" max="44" min="34" style="0" width="14.69"/>
    <col collapsed="false" customWidth="true" hidden="false" outlineLevel="0" max="45" min="45" style="0" width="14.57"/>
    <col collapsed="false" customWidth="true" hidden="false" outlineLevel="0" max="47" min="46" style="0" width="13.7"/>
    <col collapsed="false" customWidth="true" hidden="false" outlineLevel="0" max="52" min="48" style="0" width="14.69"/>
    <col collapsed="false" customWidth="true" hidden="false" outlineLevel="0" max="53" min="53" style="0" width="13.7"/>
    <col collapsed="false" customWidth="true" hidden="false" outlineLevel="0" max="55" min="54" style="0" width="14.69"/>
    <col collapsed="false" customWidth="true" hidden="false" outlineLevel="0" max="58" min="56" style="0" width="24.41"/>
    <col collapsed="false" customWidth="true" hidden="false" outlineLevel="0" max="61" min="59" style="0" width="23.71"/>
    <col collapsed="false" customWidth="true" hidden="false" outlineLevel="0" max="64" min="62" style="0" width="24.41"/>
    <col collapsed="false" customWidth="true" hidden="false" outlineLevel="0" max="70" min="65" style="0" width="17.71"/>
    <col collapsed="false" customWidth="true" hidden="false" outlineLevel="0" max="73" min="71" style="0" width="20.86"/>
    <col collapsed="false" customWidth="true" hidden="false" outlineLevel="0" max="76" min="74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174</v>
      </c>
      <c r="AG1" s="166" t="s">
        <v>175</v>
      </c>
      <c r="AH1" s="166" t="s">
        <v>176</v>
      </c>
      <c r="AI1" s="166" t="s">
        <v>177</v>
      </c>
      <c r="AJ1" s="166" t="s">
        <v>178</v>
      </c>
      <c r="AK1" s="166" t="s">
        <v>179</v>
      </c>
      <c r="AL1" s="166" t="s">
        <v>180</v>
      </c>
      <c r="AM1" s="166" t="s">
        <v>181</v>
      </c>
      <c r="AN1" s="166" t="s">
        <v>182</v>
      </c>
      <c r="AO1" s="166" t="s">
        <v>183</v>
      </c>
      <c r="AP1" s="166" t="s">
        <v>184</v>
      </c>
      <c r="AQ1" s="166" t="s">
        <v>185</v>
      </c>
      <c r="AR1" s="166" t="s">
        <v>186</v>
      </c>
      <c r="AS1" s="166" t="s">
        <v>187</v>
      </c>
      <c r="AT1" s="166" t="s">
        <v>188</v>
      </c>
      <c r="AU1" s="166" t="s">
        <v>195</v>
      </c>
      <c r="AV1" s="166" t="s">
        <v>196</v>
      </c>
      <c r="AW1" s="166" t="s">
        <v>197</v>
      </c>
      <c r="AX1" s="166" t="s">
        <v>198</v>
      </c>
      <c r="AY1" s="166" t="s">
        <v>199</v>
      </c>
      <c r="AZ1" s="166" t="s">
        <v>200</v>
      </c>
      <c r="BA1" s="166" t="s">
        <v>201</v>
      </c>
      <c r="BB1" s="166" t="s">
        <v>202</v>
      </c>
      <c r="BC1" s="166" t="s">
        <v>203</v>
      </c>
      <c r="BD1" s="166" t="s">
        <v>204</v>
      </c>
      <c r="BE1" s="166" t="s">
        <v>205</v>
      </c>
      <c r="BF1" s="166" t="s">
        <v>206</v>
      </c>
      <c r="BG1" s="166" t="s">
        <v>207</v>
      </c>
      <c r="BH1" s="166" t="s">
        <v>208</v>
      </c>
      <c r="BI1" s="166" t="s">
        <v>209</v>
      </c>
      <c r="BJ1" s="166" t="s">
        <v>210</v>
      </c>
      <c r="BK1" s="166" t="s">
        <v>211</v>
      </c>
      <c r="BL1" s="166" t="s">
        <v>212</v>
      </c>
      <c r="BM1" s="166" t="s">
        <v>248</v>
      </c>
      <c r="BN1" s="166" t="s">
        <v>249</v>
      </c>
      <c r="BO1" s="166" t="s">
        <v>250</v>
      </c>
      <c r="BP1" s="166" t="s">
        <v>251</v>
      </c>
      <c r="BQ1" s="166" t="s">
        <v>252</v>
      </c>
      <c r="BR1" s="166" t="s">
        <v>253</v>
      </c>
      <c r="BS1" s="166" t="s">
        <v>213</v>
      </c>
      <c r="BT1" s="166" t="s">
        <v>214</v>
      </c>
      <c r="BU1" s="166" t="s">
        <v>215</v>
      </c>
      <c r="BV1" s="166" t="s">
        <v>216</v>
      </c>
      <c r="BW1" s="166" t="s">
        <v>217</v>
      </c>
      <c r="BX1" s="166" t="s">
        <v>218</v>
      </c>
      <c r="BY1" s="167"/>
    </row>
    <row r="2" customFormat="false" ht="12.75" hidden="true" customHeight="false" outlineLevel="0" collapsed="false">
      <c r="A2" s="3" t="n">
        <v>3</v>
      </c>
      <c r="B2" s="3" t="n">
        <v>3.1</v>
      </c>
      <c r="C2" s="3" t="s">
        <v>254</v>
      </c>
      <c r="D2" s="3" t="s">
        <v>220</v>
      </c>
      <c r="E2" s="3" t="n">
        <v>0.00141679992347811</v>
      </c>
      <c r="F2" s="3" t="n">
        <v>1.94204457944919E-005</v>
      </c>
      <c r="G2" s="3" t="n">
        <v>0.000104409316001093</v>
      </c>
      <c r="H2" s="168" t="n">
        <v>0.00133815274621178</v>
      </c>
      <c r="I2" s="3" t="n">
        <v>0.000152139975593725</v>
      </c>
      <c r="J2" s="3" t="n">
        <v>0.00148416993607192</v>
      </c>
      <c r="K2" s="3" t="n">
        <v>0.00905078172101298</v>
      </c>
      <c r="L2" s="168" t="n">
        <v>1.48168656980642E-029</v>
      </c>
      <c r="M2" s="3" t="n">
        <v>0.0226623116057992</v>
      </c>
      <c r="N2" s="3" t="n">
        <v>0</v>
      </c>
      <c r="O2" s="3" t="n">
        <v>0.00670189334492707</v>
      </c>
      <c r="P2" s="3" t="n">
        <v>0</v>
      </c>
      <c r="Q2" s="3" t="n">
        <v>0.0216956293210115</v>
      </c>
      <c r="R2" s="168" t="n">
        <v>2.10728756594691E-028</v>
      </c>
      <c r="S2" s="3" t="n">
        <v>0.00836528725144861</v>
      </c>
      <c r="T2" s="3" t="n">
        <v>0</v>
      </c>
      <c r="U2" s="3" t="n">
        <v>0.0279966166492744</v>
      </c>
      <c r="V2" s="3" t="n">
        <v>0</v>
      </c>
      <c r="W2" s="168" t="n">
        <v>7.88516589536264E-008</v>
      </c>
      <c r="X2" s="168" t="n">
        <v>2.89751832801217E-005</v>
      </c>
      <c r="Y2" s="168" t="n">
        <v>1.09383234095658E-007</v>
      </c>
      <c r="Z2" s="168" t="n">
        <v>0.000106309436684805</v>
      </c>
      <c r="AA2" s="168" t="n">
        <v>5.97643241391296E-008</v>
      </c>
      <c r="AB2" s="168" t="n">
        <v>7.96027675598441E-005</v>
      </c>
      <c r="AC2" s="3" t="n">
        <v>0.000878313811760891</v>
      </c>
      <c r="AD2" s="3" t="n">
        <v>0.00019224896000001</v>
      </c>
      <c r="AE2" s="3" t="n">
        <v>3.48645486304338E-005</v>
      </c>
      <c r="AF2" s="3" t="n">
        <v>0.00138424918188423</v>
      </c>
      <c r="AG2" s="168" t="n">
        <v>5.4428454950074E-035</v>
      </c>
      <c r="AH2" s="168" t="n">
        <v>0.00170486104057959</v>
      </c>
      <c r="AI2" s="3" t="n">
        <v>0</v>
      </c>
      <c r="AJ2" s="3" t="n">
        <v>0.00131656090434779</v>
      </c>
      <c r="AK2" s="168" t="n">
        <v>2.10728756594691E-028</v>
      </c>
      <c r="AL2" s="168" t="n">
        <v>1.75150582740214E-008</v>
      </c>
      <c r="AM2" s="168" t="n">
        <v>0.00211389169678263</v>
      </c>
      <c r="AN2" s="168" t="n">
        <v>3.48935473275364E-009</v>
      </c>
      <c r="AO2" s="168" t="n">
        <v>0.000336815531876668</v>
      </c>
      <c r="AP2" s="168" t="n">
        <v>2.652420327623E-009</v>
      </c>
      <c r="AQ2" s="168" t="n">
        <v>0.000244697756477002</v>
      </c>
      <c r="AR2" s="3" t="n">
        <v>5.076816496232E-006</v>
      </c>
      <c r="AS2" s="3" t="n">
        <v>8.59390250057967E-006</v>
      </c>
      <c r="AT2" s="3" t="n">
        <v>7.90654441739089E-007</v>
      </c>
      <c r="AU2" s="168" t="n">
        <v>1.06147478261301E-007</v>
      </c>
      <c r="AV2" s="168" t="n">
        <v>3.74074781450038E-007</v>
      </c>
      <c r="AW2" s="168" t="n">
        <v>1.51183005145714E-007</v>
      </c>
      <c r="AX2" s="168" t="n">
        <v>3.18582871094743E-008</v>
      </c>
      <c r="AY2" s="168" t="n">
        <v>4.56265906215685E-008</v>
      </c>
      <c r="AZ2" s="168" t="n">
        <v>4.31464263459315E-008</v>
      </c>
      <c r="BA2" s="168" t="n">
        <v>1.88003191971361E-005</v>
      </c>
      <c r="BB2" s="168" t="n">
        <v>2.6762696228945E-005</v>
      </c>
      <c r="BC2" s="168" t="n">
        <v>2.53129006900512E-005</v>
      </c>
      <c r="BD2" s="168" t="n">
        <v>2.79035644930379E-009</v>
      </c>
      <c r="BE2" s="168" t="n">
        <v>2.36091760868211E-009</v>
      </c>
      <c r="BF2" s="168" t="n">
        <v>3.14529826094368E-009</v>
      </c>
      <c r="BG2" s="168" t="n">
        <v>9.72525067347964E-009</v>
      </c>
      <c r="BH2" s="168" t="n">
        <v>6.51507330335957E-009</v>
      </c>
      <c r="BI2" s="168" t="n">
        <v>6.60932933231643E-009</v>
      </c>
      <c r="BJ2" s="168" t="n">
        <v>3.50535482946568E-006</v>
      </c>
      <c r="BK2" s="168" t="n">
        <v>2.25291430842272E-006</v>
      </c>
      <c r="BL2" s="168" t="n">
        <v>2.31141580748682E-006</v>
      </c>
      <c r="BM2" s="3" t="n">
        <v>0</v>
      </c>
      <c r="BN2" s="3" t="n">
        <v>0</v>
      </c>
      <c r="BO2" s="3" t="n">
        <v>0</v>
      </c>
      <c r="BP2" s="3" t="n">
        <v>0</v>
      </c>
      <c r="BQ2" s="3" t="n">
        <v>0</v>
      </c>
      <c r="BR2" s="3" t="n">
        <v>0</v>
      </c>
      <c r="BS2" s="169"/>
      <c r="BT2" s="169"/>
      <c r="BU2" s="169"/>
      <c r="BV2" s="169"/>
      <c r="BW2" s="169"/>
      <c r="BX2" s="169"/>
      <c r="BY2" s="169"/>
    </row>
    <row r="3" customFormat="false" ht="12.75" hidden="true" customHeight="false" outlineLevel="0" collapsed="false">
      <c r="A3" s="3" t="n">
        <v>3</v>
      </c>
      <c r="B3" s="3" t="n">
        <v>3.1</v>
      </c>
      <c r="C3" s="3" t="s">
        <v>255</v>
      </c>
      <c r="D3" s="3" t="s">
        <v>220</v>
      </c>
      <c r="E3" s="3" t="n">
        <v>0.00734185674988415</v>
      </c>
      <c r="F3" s="3" t="n">
        <v>4.77984489762314E-005</v>
      </c>
      <c r="G3" s="3" t="n">
        <v>4.94429245902552E-005</v>
      </c>
      <c r="H3" s="3" t="n">
        <v>0.00742505855160235</v>
      </c>
      <c r="I3" s="3" t="n">
        <v>9.85050767851299E-005</v>
      </c>
      <c r="J3" s="3" t="n">
        <v>0.00715314366971359</v>
      </c>
      <c r="K3" s="3" t="n">
        <v>0.0200213117036233</v>
      </c>
      <c r="L3" s="168" t="n">
        <v>1.31705472871681E-029</v>
      </c>
      <c r="M3" s="3" t="n">
        <v>0.0762564207275296</v>
      </c>
      <c r="N3" s="3" t="n">
        <v>0</v>
      </c>
      <c r="O3" s="3" t="n">
        <v>0.0361288056862297</v>
      </c>
      <c r="P3" s="3" t="n">
        <v>0</v>
      </c>
      <c r="Q3" s="3" t="n">
        <v>0.123258592480444</v>
      </c>
      <c r="R3" s="168" t="n">
        <v>7.0242918864897E-029</v>
      </c>
      <c r="S3" s="3" t="n">
        <v>0.0334049765326097</v>
      </c>
      <c r="T3" s="3" t="n">
        <v>0</v>
      </c>
      <c r="U3" s="3" t="n">
        <v>0.06917764700797</v>
      </c>
      <c r="V3" s="3" t="n">
        <v>0</v>
      </c>
      <c r="W3" s="168" t="n">
        <v>2.07881078153611E-007</v>
      </c>
      <c r="X3" s="168" t="n">
        <v>2.86284400905363E-005</v>
      </c>
      <c r="Y3" s="168" t="n">
        <v>4.56840748843481E-007</v>
      </c>
      <c r="Z3" s="168" t="n">
        <v>0.000187302537928641</v>
      </c>
      <c r="AA3" s="168" t="n">
        <v>2.43020144034058E-007</v>
      </c>
      <c r="AB3" s="168" t="n">
        <v>0.000216418663185586</v>
      </c>
      <c r="AC3" s="3" t="n">
        <v>0.00270289697286231</v>
      </c>
      <c r="AD3" s="3" t="n">
        <v>0.00157805482868839</v>
      </c>
      <c r="AE3" s="3" t="n">
        <v>4.46505266956476E-005</v>
      </c>
      <c r="AF3" s="3" t="n">
        <v>0.00478211821449298</v>
      </c>
      <c r="AG3" s="168" t="n">
        <v>1.08856909900148E-034</v>
      </c>
      <c r="AH3" s="3" t="n">
        <v>0.00435309783188408</v>
      </c>
      <c r="AI3" s="3" t="n">
        <v>0</v>
      </c>
      <c r="AJ3" s="3" t="n">
        <v>0.00775668903695696</v>
      </c>
      <c r="AK3" s="168" t="n">
        <v>2.10728756594691E-028</v>
      </c>
      <c r="AL3" s="168" t="n">
        <v>1.88115706044059E-008</v>
      </c>
      <c r="AM3" s="168" t="n">
        <v>0.00166111889085011</v>
      </c>
      <c r="AN3" s="168" t="n">
        <v>5.18344295997152E-007</v>
      </c>
      <c r="AO3" s="168" t="n">
        <v>0.0211125493104642</v>
      </c>
      <c r="AP3" s="168" t="n">
        <v>7.51310961424348E-007</v>
      </c>
      <c r="AQ3" s="168" t="n">
        <v>0.0475140091226283</v>
      </c>
      <c r="AR3" s="3" t="n">
        <v>8.83124365384027E-006</v>
      </c>
      <c r="AS3" s="3" t="n">
        <v>1.05248314480435E-005</v>
      </c>
      <c r="AT3" s="3" t="n">
        <v>1.26406518930435E-005</v>
      </c>
      <c r="AU3" s="168" t="n">
        <v>8.60576913044571E-008</v>
      </c>
      <c r="AV3" s="168" t="n">
        <v>3.6907803565195E-007</v>
      </c>
      <c r="AW3" s="168" t="n">
        <v>5.33525371522261E-007</v>
      </c>
      <c r="AX3" s="168" t="n">
        <v>2.99756904353733E-008</v>
      </c>
      <c r="AY3" s="168" t="n">
        <v>2.38346036424031E-008</v>
      </c>
      <c r="AZ3" s="168" t="n">
        <v>2.37146578933429E-008</v>
      </c>
      <c r="BA3" s="168" t="n">
        <v>1.7655151237363E-005</v>
      </c>
      <c r="BB3" s="168" t="n">
        <v>1.39812301630957E-005</v>
      </c>
      <c r="BC3" s="168" t="n">
        <v>1.37996899202919E-005</v>
      </c>
      <c r="BD3" s="168" t="n">
        <v>1.69250949277806E-009</v>
      </c>
      <c r="BE3" s="168" t="n">
        <v>2.41741188399512E-009</v>
      </c>
      <c r="BF3" s="168" t="n">
        <v>2.39481391305986E-009</v>
      </c>
      <c r="BG3" s="168" t="n">
        <v>6.46058554258317E-009</v>
      </c>
      <c r="BH3" s="168" t="n">
        <v>8.30199381975854E-009</v>
      </c>
      <c r="BI3" s="168" t="n">
        <v>1.82715882451272E-008</v>
      </c>
      <c r="BJ3" s="168" t="n">
        <v>2.32868485138841E-006</v>
      </c>
      <c r="BK3" s="168" t="n">
        <v>2.87065043771436E-006</v>
      </c>
      <c r="BL3" s="168" t="n">
        <v>6.38789594114393E-006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169"/>
      <c r="BT3" s="169"/>
      <c r="BU3" s="169"/>
      <c r="BV3" s="169"/>
      <c r="BW3" s="169"/>
      <c r="BX3" s="169"/>
      <c r="BY3" s="169"/>
    </row>
    <row r="4" customFormat="false" ht="12.75" hidden="true" customHeight="false" outlineLevel="0" collapsed="false">
      <c r="A4" s="3" t="n">
        <v>3</v>
      </c>
      <c r="B4" s="3" t="n">
        <v>3.1</v>
      </c>
      <c r="C4" s="3" t="s">
        <v>256</v>
      </c>
      <c r="D4" s="3" t="s">
        <v>220</v>
      </c>
      <c r="E4" s="3" t="n">
        <v>0.00105590496503608</v>
      </c>
      <c r="F4" s="3" t="n">
        <v>2.06764986538401E-005</v>
      </c>
      <c r="G4" s="3" t="n">
        <v>6.26535455252492E-005</v>
      </c>
      <c r="H4" s="3" t="n">
        <v>0.00109121430071743</v>
      </c>
      <c r="I4" s="3" t="n">
        <v>7.23730957801918E-005</v>
      </c>
      <c r="J4" s="3" t="n">
        <v>0.00133215756324689</v>
      </c>
      <c r="K4" s="3" t="n">
        <v>0.00732312320869688</v>
      </c>
      <c r="L4" s="168" t="n">
        <v>1.31705472871681E-029</v>
      </c>
      <c r="M4" s="3" t="n">
        <v>0.0190992665362333</v>
      </c>
      <c r="N4" s="3" t="n">
        <v>0</v>
      </c>
      <c r="O4" s="3" t="n">
        <v>0.00523244434710238</v>
      </c>
      <c r="P4" s="3" t="n">
        <v>0</v>
      </c>
      <c r="Q4" s="3" t="n">
        <v>0.0144006062369537</v>
      </c>
      <c r="R4" s="168" t="n">
        <v>3.51214594324485E-029</v>
      </c>
      <c r="S4" s="3" t="n">
        <v>0.00607989290434707</v>
      </c>
      <c r="T4" s="3" t="n">
        <v>0</v>
      </c>
      <c r="U4" s="3" t="n">
        <v>0.0224138406253559</v>
      </c>
      <c r="V4" s="3" t="n">
        <v>0</v>
      </c>
      <c r="W4" s="168" t="n">
        <v>7.98204938949297E-008</v>
      </c>
      <c r="X4" s="168" t="n">
        <v>5.67152591076605E-005</v>
      </c>
      <c r="Y4" s="168" t="n">
        <v>1.0602522844565E-007</v>
      </c>
      <c r="Z4" s="3" t="n">
        <v>0.000118830082490139</v>
      </c>
      <c r="AA4" s="168" t="n">
        <v>5.14838883471028E-008</v>
      </c>
      <c r="AB4" s="168" t="n">
        <v>0.000114588163799083</v>
      </c>
      <c r="AC4" s="3" t="n">
        <v>0.00090366817979709</v>
      </c>
      <c r="AD4" s="3" t="n">
        <v>0.000101846212173909</v>
      </c>
      <c r="AE4" s="3" t="n">
        <v>6.12279253840532E-005</v>
      </c>
      <c r="AF4" s="3" t="n">
        <v>0.0011655267471017</v>
      </c>
      <c r="AG4" s="168" t="n">
        <v>1.0048330144629E-034</v>
      </c>
      <c r="AH4" s="3" t="n">
        <v>0.00140294883405801</v>
      </c>
      <c r="AI4" s="3" t="n">
        <v>0</v>
      </c>
      <c r="AJ4" s="3" t="n">
        <v>0.000867991993478319</v>
      </c>
      <c r="AK4" s="168" t="n">
        <v>2.10728756594691E-028</v>
      </c>
      <c r="AL4" s="168" t="n">
        <v>2.18972867404338E-007</v>
      </c>
      <c r="AM4" s="168" t="n">
        <v>0.0268201015540108</v>
      </c>
      <c r="AN4" s="168" t="n">
        <v>9.68419286652175E-009</v>
      </c>
      <c r="AO4" s="168" t="n">
        <v>0.000725697331095901</v>
      </c>
      <c r="AP4" s="168" t="n">
        <v>5.88716376101442E-009</v>
      </c>
      <c r="AQ4" s="168" t="n">
        <v>0.000465244629539025</v>
      </c>
      <c r="AR4" s="3" t="n">
        <v>2.50523160927518E-006</v>
      </c>
      <c r="AS4" s="3" t="n">
        <v>9.85251298891296E-006</v>
      </c>
      <c r="AT4" s="3" t="n">
        <v>2.5751461527535E-006</v>
      </c>
      <c r="AU4" s="168" t="n">
        <v>1.02723381956688E-007</v>
      </c>
      <c r="AV4" s="168" t="n">
        <v>3.42962575578976E-007</v>
      </c>
      <c r="AW4" s="168" t="n">
        <v>6.75497246884328E-007</v>
      </c>
      <c r="AX4" s="168" t="n">
        <v>3.79548348696691E-008</v>
      </c>
      <c r="AY4" s="168" t="n">
        <v>5.21418210620498E-008</v>
      </c>
      <c r="AZ4" s="168" t="n">
        <v>2.35690763131006E-008</v>
      </c>
      <c r="BA4" s="168" t="n">
        <v>2.23130447749664E-005</v>
      </c>
      <c r="BB4" s="168" t="n">
        <v>3.05924019976919E-005</v>
      </c>
      <c r="BC4" s="168" t="n">
        <v>1.37804811515206E-005</v>
      </c>
      <c r="BD4" s="168" t="n">
        <v>1.34461536229874E-009</v>
      </c>
      <c r="BE4" s="168" t="n">
        <v>2.02766231879172E-009</v>
      </c>
      <c r="BF4" s="168" t="n">
        <v>3.20865043476041E-009</v>
      </c>
      <c r="BG4" s="168" t="n">
        <v>8.85878451172065E-009</v>
      </c>
      <c r="BH4" s="168" t="n">
        <v>5.88628870216629E-009</v>
      </c>
      <c r="BI4" s="168" t="n">
        <v>2.2109959289376E-008</v>
      </c>
      <c r="BJ4" s="168" t="n">
        <v>3.19310095749685E-006</v>
      </c>
      <c r="BK4" s="168" t="n">
        <v>2.03515291339228E-006</v>
      </c>
      <c r="BL4" s="3" t="n">
        <v>7.73004259775701E-006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169"/>
      <c r="BT4" s="169"/>
      <c r="BU4" s="169"/>
      <c r="BV4" s="169"/>
      <c r="BW4" s="169"/>
      <c r="BX4" s="169"/>
      <c r="BY4" s="169"/>
    </row>
    <row r="5" customFormat="false" ht="12.75" hidden="true" customHeight="false" outlineLevel="0" collapsed="false">
      <c r="A5" s="3" t="n">
        <v>3</v>
      </c>
      <c r="B5" s="3" t="n">
        <v>3.2</v>
      </c>
      <c r="C5" s="3" t="s">
        <v>257</v>
      </c>
      <c r="D5" s="3" t="s">
        <v>220</v>
      </c>
      <c r="E5" s="3" t="n">
        <v>0.0826120995992748</v>
      </c>
      <c r="F5" s="3" t="n">
        <v>0.0779721775536242</v>
      </c>
      <c r="G5" s="3" t="n">
        <v>0.163938554207483</v>
      </c>
      <c r="H5" s="3" t="n">
        <v>0.000976238573188816</v>
      </c>
      <c r="I5" s="3" t="n">
        <v>0.0176006564180599</v>
      </c>
      <c r="J5" s="3" t="n">
        <v>0.0155737551560619</v>
      </c>
      <c r="K5" s="3" t="n">
        <v>0.00664104646666625</v>
      </c>
      <c r="L5" s="168" t="n">
        <v>2.35972305561763E-029</v>
      </c>
      <c r="M5" s="3" t="n">
        <v>0.0177644125905791</v>
      </c>
      <c r="N5" s="3" t="n">
        <v>0</v>
      </c>
      <c r="O5" s="3" t="n">
        <v>0.00623456059058197</v>
      </c>
      <c r="P5" s="3" t="n">
        <v>0</v>
      </c>
      <c r="Q5" s="3" t="n">
        <v>0.0166646433275379</v>
      </c>
      <c r="R5" s="168" t="n">
        <v>1.40485837729794E-028</v>
      </c>
      <c r="S5" s="3" t="n">
        <v>0.00418115132101441</v>
      </c>
      <c r="T5" s="3" t="n">
        <v>0</v>
      </c>
      <c r="U5" s="3" t="n">
        <v>0.0167538803471005</v>
      </c>
      <c r="V5" s="3" t="n">
        <v>0</v>
      </c>
      <c r="W5" s="168" t="n">
        <v>3.36199591127531E-007</v>
      </c>
      <c r="X5" s="3" t="n">
        <v>0.00187411199629444</v>
      </c>
      <c r="Y5" s="168" t="n">
        <v>3.52540264614504E-007</v>
      </c>
      <c r="Z5" s="3" t="n">
        <v>0.00335457181044942</v>
      </c>
      <c r="AA5" s="168" t="n">
        <v>1.58979892797102E-007</v>
      </c>
      <c r="AB5" s="3" t="n">
        <v>0.00211814341952145</v>
      </c>
      <c r="AC5" s="3" t="n">
        <v>0.0102184853326081</v>
      </c>
      <c r="AD5" s="3" t="n">
        <v>0.00856653557608654</v>
      </c>
      <c r="AE5" s="3" t="n">
        <v>0.0145737847992753</v>
      </c>
      <c r="AF5" s="3" t="n">
        <v>0.00109397169782601</v>
      </c>
      <c r="AG5" s="168" t="n">
        <v>7.53624760847179E-035</v>
      </c>
      <c r="AH5" s="3" t="n">
        <v>0.00102786368623188</v>
      </c>
      <c r="AI5" s="3" t="n">
        <v>0</v>
      </c>
      <c r="AJ5" s="3" t="n">
        <v>0.00103886494782603</v>
      </c>
      <c r="AK5" s="168" t="n">
        <v>2.10728756594691E-028</v>
      </c>
      <c r="AL5" s="3" t="n">
        <v>5.99699187449295E-006</v>
      </c>
      <c r="AM5" s="3" t="n">
        <v>0.000760205546323777</v>
      </c>
      <c r="AN5" s="3" t="n">
        <v>8.34264187826135E-007</v>
      </c>
      <c r="AO5" s="3" t="n">
        <v>0.00126378191423759</v>
      </c>
      <c r="AP5" s="3" t="n">
        <v>1.22932919275351E-006</v>
      </c>
      <c r="AQ5" s="3" t="n">
        <v>0.000751944399632861</v>
      </c>
      <c r="AR5" s="3" t="n">
        <v>0.00627549249565159</v>
      </c>
      <c r="AS5" s="3" t="n">
        <v>0.00961169363405808</v>
      </c>
      <c r="AT5" s="3" t="n">
        <v>0.0121182155586963</v>
      </c>
      <c r="AU5" s="3" t="n">
        <v>4.5549521790591E-006</v>
      </c>
      <c r="AV5" s="3" t="n">
        <v>5.76760990347601E-006</v>
      </c>
      <c r="AW5" s="3" t="n">
        <v>1.13533204642714E-005</v>
      </c>
      <c r="AX5" s="3" t="n">
        <v>3.32217898744028E-005</v>
      </c>
      <c r="AY5" s="3" t="n">
        <v>3.12488403786977E-005</v>
      </c>
      <c r="AZ5" s="3" t="n">
        <v>4.23766080920967E-005</v>
      </c>
      <c r="BA5" s="3" t="n">
        <v>0.0187805063650914</v>
      </c>
      <c r="BB5" s="3" t="n">
        <v>0.0174419299127811</v>
      </c>
      <c r="BC5" s="3" t="n">
        <v>0.0235792187054153</v>
      </c>
      <c r="BD5" s="168" t="n">
        <v>1.228088528622E-006</v>
      </c>
      <c r="BE5" s="168" t="n">
        <v>1.14767479928434E-007</v>
      </c>
      <c r="BF5" s="3" t="n">
        <v>2.62308113123927E-005</v>
      </c>
      <c r="BG5" s="168" t="n">
        <v>7.99936841079777E-008</v>
      </c>
      <c r="BH5" s="168" t="n">
        <v>1.65363710155178E-007</v>
      </c>
      <c r="BI5" s="3" t="n">
        <v>4.80297704786573E-006</v>
      </c>
      <c r="BJ5" s="3" t="n">
        <v>6.95468794600438E-005</v>
      </c>
      <c r="BK5" s="3" t="n">
        <v>5.84639802636355E-005</v>
      </c>
      <c r="BL5" s="3" t="n">
        <v>0.00209548279061408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3" t="n">
        <v>0</v>
      </c>
      <c r="BS5" s="169"/>
      <c r="BT5" s="169"/>
      <c r="BU5" s="169"/>
      <c r="BV5" s="169"/>
      <c r="BW5" s="169"/>
      <c r="BX5" s="169"/>
      <c r="BY5" s="169"/>
    </row>
    <row r="6" customFormat="false" ht="12.75" hidden="true" customHeight="false" outlineLevel="0" collapsed="false">
      <c r="A6" s="3" t="n">
        <v>3</v>
      </c>
      <c r="B6" s="3" t="n">
        <v>3.2</v>
      </c>
      <c r="C6" s="3" t="s">
        <v>258</v>
      </c>
      <c r="D6" s="3" t="s">
        <v>220</v>
      </c>
      <c r="E6" s="3" t="n">
        <v>0.00416398630434908</v>
      </c>
      <c r="F6" s="3" t="n">
        <v>0.00252248893840669</v>
      </c>
      <c r="G6" s="3" t="n">
        <v>0.0038725459178282</v>
      </c>
      <c r="H6" s="3" t="n">
        <v>0.00122778507753702</v>
      </c>
      <c r="I6" s="3" t="n">
        <v>0.00515564240361907</v>
      </c>
      <c r="J6" s="3" t="n">
        <v>0.00668765070971223</v>
      </c>
      <c r="K6" s="3" t="n">
        <v>0.00622464146956579</v>
      </c>
      <c r="L6" s="168" t="n">
        <v>1.48168656980642E-029</v>
      </c>
      <c r="M6" s="3" t="n">
        <v>0.0190444870195679</v>
      </c>
      <c r="N6" s="3" t="n">
        <v>0</v>
      </c>
      <c r="O6" s="3" t="n">
        <v>0.00656435232970949</v>
      </c>
      <c r="P6" s="3" t="n">
        <v>0</v>
      </c>
      <c r="Q6" s="3" t="n">
        <v>0.0218933945362308</v>
      </c>
      <c r="R6" s="168" t="n">
        <v>2.10728756594691E-028</v>
      </c>
      <c r="S6" s="3" t="n">
        <v>0.00707638437608768</v>
      </c>
      <c r="T6" s="3" t="n">
        <v>0</v>
      </c>
      <c r="U6" s="3" t="n">
        <v>0.0186587431123209</v>
      </c>
      <c r="V6" s="3" t="n">
        <v>0</v>
      </c>
      <c r="W6" s="168" t="n">
        <v>2.62539105692742E-007</v>
      </c>
      <c r="X6" s="3" t="n">
        <v>0.00104896042678481</v>
      </c>
      <c r="Y6" s="168" t="n">
        <v>7.33221219101451E-008</v>
      </c>
      <c r="Z6" s="3" t="n">
        <v>0.00153638644865615</v>
      </c>
      <c r="AA6" s="168" t="n">
        <v>8.40139133565165E-008</v>
      </c>
      <c r="AB6" s="3" t="n">
        <v>0.000857320474375507</v>
      </c>
      <c r="AC6" s="3" t="n">
        <v>0.00392459588405761</v>
      </c>
      <c r="AD6" s="3" t="n">
        <v>0.00229425039710188</v>
      </c>
      <c r="AE6" s="3" t="n">
        <v>0.00173922410434786</v>
      </c>
      <c r="AF6" s="3" t="n">
        <v>0.00120021522318856</v>
      </c>
      <c r="AG6" s="168" t="n">
        <v>7.53624760847179E-035</v>
      </c>
      <c r="AH6" s="3" t="n">
        <v>0.00118402959927536</v>
      </c>
      <c r="AI6" s="3" t="n">
        <v>0</v>
      </c>
      <c r="AJ6" s="3" t="n">
        <v>0.00139604721086929</v>
      </c>
      <c r="AK6" s="168" t="n">
        <v>3.51214594324485E-029</v>
      </c>
      <c r="AL6" s="168" t="n">
        <v>2.53194187565211E-006</v>
      </c>
      <c r="AM6" s="3" t="n">
        <v>0.000682295871025364</v>
      </c>
      <c r="AN6" s="168" t="n">
        <v>2.93789787797104E-006</v>
      </c>
      <c r="AO6" s="3" t="n">
        <v>0.000572080869745202</v>
      </c>
      <c r="AP6" s="3" t="n">
        <v>3.55939872978253E-006</v>
      </c>
      <c r="AQ6" s="3" t="n">
        <v>0.000384258650839305</v>
      </c>
      <c r="AR6" s="3" t="n">
        <v>0.00162253851521759</v>
      </c>
      <c r="AS6" s="3" t="n">
        <v>0.001867161460145</v>
      </c>
      <c r="AT6" s="3" t="n">
        <v>0.00685431456739115</v>
      </c>
      <c r="AU6" s="3" t="n">
        <v>2.25152540977997E-006</v>
      </c>
      <c r="AV6" s="3" t="n">
        <v>3.26725953210066E-006</v>
      </c>
      <c r="AW6" s="3" t="n">
        <v>8.25987240978082E-006</v>
      </c>
      <c r="AX6" s="3" t="n">
        <v>5.08178906536242E-006</v>
      </c>
      <c r="AY6" s="3" t="n">
        <v>4.55570452846999E-006</v>
      </c>
      <c r="AZ6" s="3" t="n">
        <v>3.83214552296089E-006</v>
      </c>
      <c r="BA6" s="3" t="n">
        <v>0.00283204773621569</v>
      </c>
      <c r="BB6" s="3" t="n">
        <v>0.00243351906864807</v>
      </c>
      <c r="BC6" s="3" t="n">
        <v>0.00193889414005008</v>
      </c>
      <c r="BD6" s="3" t="n">
        <v>5.76181822536487E-007</v>
      </c>
      <c r="BE6" s="168" t="n">
        <v>2.47306807826178E-007</v>
      </c>
      <c r="BF6" s="3" t="n">
        <v>3.06447694927499E-006</v>
      </c>
      <c r="BG6" s="168" t="n">
        <v>3.10789173592004E-007</v>
      </c>
      <c r="BH6" s="168" t="n">
        <v>1.32255091321524E-007</v>
      </c>
      <c r="BI6" s="3" t="n">
        <v>2.60749498979916E-005</v>
      </c>
      <c r="BJ6" s="3" t="n">
        <v>0.000150678365467391</v>
      </c>
      <c r="BK6" s="3" t="n">
        <v>6.06599946258928E-005</v>
      </c>
      <c r="BL6" s="3" t="n">
        <v>0.00757390547136599</v>
      </c>
      <c r="BM6" s="3" t="n">
        <v>0</v>
      </c>
      <c r="BN6" s="3" t="n">
        <v>0</v>
      </c>
      <c r="BO6" s="3" t="n">
        <v>0</v>
      </c>
      <c r="BP6" s="3" t="n">
        <v>0</v>
      </c>
      <c r="BQ6" s="3" t="n">
        <v>0</v>
      </c>
      <c r="BR6" s="3" t="n">
        <v>0</v>
      </c>
      <c r="BS6" s="169"/>
      <c r="BT6" s="169"/>
      <c r="BU6" s="169"/>
      <c r="BV6" s="169"/>
      <c r="BW6" s="169"/>
      <c r="BX6" s="169"/>
      <c r="BY6" s="169"/>
    </row>
    <row r="7" customFormat="false" ht="12.75" hidden="true" customHeight="false" outlineLevel="0" collapsed="false">
      <c r="A7" s="3" t="n">
        <v>3</v>
      </c>
      <c r="B7" s="3" t="n">
        <v>3.2</v>
      </c>
      <c r="C7" s="3" t="s">
        <v>259</v>
      </c>
      <c r="D7" s="3" t="s">
        <v>220</v>
      </c>
      <c r="E7" s="3" t="n">
        <v>0.00439075276231662</v>
      </c>
      <c r="F7" s="3" t="n">
        <v>0.0010710392434784</v>
      </c>
      <c r="G7" s="3" t="n">
        <v>0.00628282054372333</v>
      </c>
      <c r="H7" s="3" t="n">
        <v>0.00232462906666421</v>
      </c>
      <c r="I7" s="3" t="n">
        <v>0.00372494114473496</v>
      </c>
      <c r="J7" s="3" t="n">
        <v>0.00452108040054537</v>
      </c>
      <c r="K7" s="3" t="n">
        <v>0.0112810326927553</v>
      </c>
      <c r="L7" s="168" t="n">
        <v>1.31705472871681E-029</v>
      </c>
      <c r="M7" s="3" t="n">
        <v>0.0344240980260915</v>
      </c>
      <c r="N7" s="3" t="n">
        <v>0</v>
      </c>
      <c r="O7" s="3" t="n">
        <v>0.0117582073731903</v>
      </c>
      <c r="P7" s="3" t="n">
        <v>0</v>
      </c>
      <c r="Q7" s="3" t="n">
        <v>0.0353667793673955</v>
      </c>
      <c r="R7" s="168" t="n">
        <v>5.26821891486727E-029</v>
      </c>
      <c r="S7" s="3" t="n">
        <v>0.0123702539818844</v>
      </c>
      <c r="T7" s="3" t="n">
        <v>0</v>
      </c>
      <c r="U7" s="3" t="n">
        <v>0.0364599208927561</v>
      </c>
      <c r="V7" s="3" t="n">
        <v>0</v>
      </c>
      <c r="W7" s="3" t="n">
        <v>1.39908246457961E-007</v>
      </c>
      <c r="X7" s="3" t="n">
        <v>0.00160449129299528</v>
      </c>
      <c r="Y7" s="168" t="n">
        <v>1.42100153825361E-007</v>
      </c>
      <c r="Z7" s="3" t="n">
        <v>0.00251088773040981</v>
      </c>
      <c r="AA7" s="3" t="n">
        <v>1.2699870253261E-007</v>
      </c>
      <c r="AB7" s="3" t="n">
        <v>0.00168058599090967</v>
      </c>
      <c r="AC7" s="3" t="n">
        <v>0.0022543441384058</v>
      </c>
      <c r="AD7" s="3" t="n">
        <v>0.00212682990652152</v>
      </c>
      <c r="AE7" s="3" t="n">
        <v>0.0021179431043475</v>
      </c>
      <c r="AF7" s="3" t="n">
        <v>0.00220236922826084</v>
      </c>
      <c r="AG7" s="168" t="n">
        <v>1.59098560623293E-034</v>
      </c>
      <c r="AH7" s="3" t="n">
        <v>0.00234699008405786</v>
      </c>
      <c r="AI7" s="3" t="n">
        <v>0</v>
      </c>
      <c r="AJ7" s="3" t="n">
        <v>0.00228188373260884</v>
      </c>
      <c r="AK7" s="168" t="n">
        <v>1.40485837729794E-028</v>
      </c>
      <c r="AL7" s="3" t="n">
        <v>9.92884968043478E-007</v>
      </c>
      <c r="AM7" s="3" t="n">
        <v>0.000550528200175235</v>
      </c>
      <c r="AN7" s="3" t="n">
        <v>9.79065550144968E-007</v>
      </c>
      <c r="AO7" s="3" t="n">
        <v>0.000228954213603258</v>
      </c>
      <c r="AP7" s="3" t="n">
        <v>1.21437706869557E-006</v>
      </c>
      <c r="AQ7" s="3" t="n">
        <v>0.000549632792053162</v>
      </c>
      <c r="AR7" s="3" t="n">
        <v>0.00161196100869596</v>
      </c>
      <c r="AS7" s="3" t="n">
        <v>0.00041284019057967</v>
      </c>
      <c r="AT7" s="3" t="n">
        <v>0.000850425112318883</v>
      </c>
      <c r="AU7" s="168" t="n">
        <v>1.33840443065087E-006</v>
      </c>
      <c r="AV7" s="168" t="n">
        <v>2.09101891912887E-006</v>
      </c>
      <c r="AW7" s="3" t="n">
        <v>5.98864222840385E-006</v>
      </c>
      <c r="AX7" s="3" t="n">
        <v>1.2923553969716E-006</v>
      </c>
      <c r="AY7" s="168" t="n">
        <v>1.11121983349154E-006</v>
      </c>
      <c r="AZ7" s="168" t="n">
        <v>1.53783529363218E-006</v>
      </c>
      <c r="BA7" s="3" t="n">
        <v>0.000773195548523246</v>
      </c>
      <c r="BB7" s="3" t="n">
        <v>0.000565298254429826</v>
      </c>
      <c r="BC7" s="3" t="n">
        <v>0.000746814366735271</v>
      </c>
      <c r="BD7" s="168" t="n">
        <v>1.94319971826121E-006</v>
      </c>
      <c r="BE7" s="168" t="n">
        <v>1.76407995362734E-007</v>
      </c>
      <c r="BF7" s="168" t="n">
        <v>1.02158829449329E-006</v>
      </c>
      <c r="BG7" s="168" t="n">
        <v>2.66888912139055E-007</v>
      </c>
      <c r="BH7" s="168" t="n">
        <v>1.78449758169628E-007</v>
      </c>
      <c r="BI7" s="3" t="n">
        <v>1.83461267983416E-006</v>
      </c>
      <c r="BJ7" s="3" t="n">
        <v>0.000186550707170408</v>
      </c>
      <c r="BK7" s="3" t="n">
        <v>7.37353451473762E-005</v>
      </c>
      <c r="BL7" s="3" t="n">
        <v>0.000750370586644329</v>
      </c>
      <c r="BM7" s="3" t="n">
        <v>0</v>
      </c>
      <c r="BN7" s="3" t="n">
        <v>0</v>
      </c>
      <c r="BO7" s="3" t="n">
        <v>0</v>
      </c>
      <c r="BP7" s="3" t="n">
        <v>0</v>
      </c>
      <c r="BQ7" s="3" t="n">
        <v>0</v>
      </c>
      <c r="BR7" s="3" t="n">
        <v>0</v>
      </c>
      <c r="BS7" s="169"/>
      <c r="BT7" s="169"/>
      <c r="BU7" s="169"/>
      <c r="BV7" s="169"/>
      <c r="BW7" s="169"/>
      <c r="BX7" s="169"/>
      <c r="BY7" s="169"/>
    </row>
    <row r="8" customFormat="false" ht="12.75" hidden="true" customHeight="false" outlineLevel="0" collapsed="false">
      <c r="A8" s="3" t="n">
        <v>3</v>
      </c>
      <c r="B8" s="3" t="n">
        <v>3.3</v>
      </c>
      <c r="C8" s="3" t="s">
        <v>260</v>
      </c>
      <c r="D8" s="3" t="s">
        <v>220</v>
      </c>
      <c r="E8" s="3" t="n">
        <v>0.119749091153626</v>
      </c>
      <c r="F8" s="3" t="n">
        <v>0.109487740329723</v>
      </c>
      <c r="G8" s="3" t="n">
        <v>0.0778264292537037</v>
      </c>
      <c r="H8" s="3" t="n">
        <v>0.000981765686230955</v>
      </c>
      <c r="I8" s="3" t="n">
        <v>0.0242917221138348</v>
      </c>
      <c r="J8" s="3" t="n">
        <v>0.0249973595022632</v>
      </c>
      <c r="K8" s="3" t="n">
        <v>0.011003121191305</v>
      </c>
      <c r="L8" s="3" t="n">
        <v>1.31705472871681E-029</v>
      </c>
      <c r="M8" s="3" t="n">
        <v>0.0178940841905827</v>
      </c>
      <c r="N8" s="3" t="n">
        <v>0</v>
      </c>
      <c r="O8" s="3" t="n">
        <v>0.00392175662318836</v>
      </c>
      <c r="P8" s="3" t="n">
        <v>0</v>
      </c>
      <c r="Q8" s="3" t="n">
        <v>0.0118954461536235</v>
      </c>
      <c r="R8" s="3" t="n">
        <v>2.63410945743363E-029</v>
      </c>
      <c r="S8" s="3" t="n">
        <v>0.0076419529673905</v>
      </c>
      <c r="T8" s="3" t="n">
        <v>0</v>
      </c>
      <c r="U8" s="3" t="n">
        <v>0.0379328061036244</v>
      </c>
      <c r="V8" s="3" t="n">
        <v>0</v>
      </c>
      <c r="W8" s="3" t="n">
        <v>3.87763881449256E-007</v>
      </c>
      <c r="X8" s="3" t="n">
        <v>0.0003534074001708</v>
      </c>
      <c r="Y8" s="3" t="n">
        <v>2.27674378478253E-007</v>
      </c>
      <c r="Z8" s="3" t="n">
        <v>0.000753508791679019</v>
      </c>
      <c r="AA8" s="3" t="n">
        <v>4.10310761449265E-007</v>
      </c>
      <c r="AB8" s="3" t="n">
        <v>0.000715178994768474</v>
      </c>
      <c r="AC8" s="3" t="n">
        <v>0.0200364254927516</v>
      </c>
      <c r="AD8" s="3" t="n">
        <v>0.0142218205731884</v>
      </c>
      <c r="AE8" s="3" t="n">
        <v>0.0254800438079746</v>
      </c>
      <c r="AF8" s="3" t="n">
        <v>0.00113942892753612</v>
      </c>
      <c r="AG8" s="3" t="n">
        <v>1.40485837729794E-028</v>
      </c>
      <c r="AH8" s="3" t="n">
        <v>0.00243898114492748</v>
      </c>
      <c r="AI8" s="3" t="n">
        <v>6.36394242493173E-034</v>
      </c>
      <c r="AJ8" s="3" t="n">
        <v>0.000756687251449314</v>
      </c>
      <c r="AK8" s="3" t="n">
        <v>0</v>
      </c>
      <c r="AL8" s="3" t="n">
        <v>3.48210588492771E-006</v>
      </c>
      <c r="AM8" s="3" t="n">
        <v>0.000839150247176652</v>
      </c>
      <c r="AN8" s="3" t="n">
        <v>8.79109724173937E-006</v>
      </c>
      <c r="AO8" s="3" t="n">
        <v>0.000438836903026539</v>
      </c>
      <c r="AP8" s="3" t="n">
        <v>5.45590475760871E-006</v>
      </c>
      <c r="AQ8" s="3" t="n">
        <v>0.000794467881405539</v>
      </c>
      <c r="AR8" s="3" t="n">
        <v>0.0100303808282612</v>
      </c>
      <c r="AS8" s="3" t="n">
        <v>0.0541042156144942</v>
      </c>
      <c r="AT8" s="3" t="n">
        <v>0.0334074898086953</v>
      </c>
      <c r="AU8" s="3" t="n">
        <v>3.80863026013977E-007</v>
      </c>
      <c r="AV8" s="3" t="n">
        <v>2.05783632971434E-007</v>
      </c>
      <c r="AW8" s="3" t="n">
        <v>6.93854909493829E-007</v>
      </c>
      <c r="AX8" s="3" t="n">
        <v>3.30773064155778E-006</v>
      </c>
      <c r="AY8" s="3" t="n">
        <v>4.21003166517714E-007</v>
      </c>
      <c r="AZ8" s="3" t="n">
        <v>1.26180273311802E-006</v>
      </c>
      <c r="BA8" s="3" t="n">
        <v>0.00186251391421933</v>
      </c>
      <c r="BB8" s="3" t="n">
        <v>0.000232381452689604</v>
      </c>
      <c r="BC8" s="3" t="n">
        <v>0.000778402659424762</v>
      </c>
      <c r="BD8" s="3" t="n">
        <v>5.25862513623132E-007</v>
      </c>
      <c r="BE8" s="3" t="n">
        <v>1.05063302717372E-006</v>
      </c>
      <c r="BF8" s="3" t="n">
        <v>1.52016321275382E-006</v>
      </c>
      <c r="BG8" s="3" t="n">
        <v>2.52054851483832E-006</v>
      </c>
      <c r="BH8" s="3" t="n">
        <v>6.15630427849526E-005</v>
      </c>
      <c r="BI8" s="3" t="n">
        <v>8.60751230847913E-005</v>
      </c>
      <c r="BJ8" s="3" t="n">
        <v>0.000758344447076447</v>
      </c>
      <c r="BK8" s="3" t="n">
        <v>0.0193812353134558</v>
      </c>
      <c r="BL8" s="3" t="n">
        <v>0.0274641915859526</v>
      </c>
      <c r="BM8" s="3" t="n">
        <v>0.00532012941576033</v>
      </c>
      <c r="BN8" s="3" t="n">
        <v>0.00814483412590612</v>
      </c>
      <c r="BO8" s="3" t="n">
        <v>0.00262293432970976</v>
      </c>
      <c r="BP8" s="3" t="n">
        <v>0</v>
      </c>
      <c r="BQ8" s="3" t="n">
        <v>0</v>
      </c>
      <c r="BR8" s="3" t="n">
        <v>0</v>
      </c>
      <c r="BS8" s="169"/>
      <c r="BT8" s="169"/>
      <c r="BU8" s="169"/>
      <c r="BV8" s="169"/>
      <c r="BW8" s="169"/>
      <c r="BX8" s="169"/>
      <c r="BY8" s="169"/>
    </row>
    <row r="9" customFormat="false" ht="12.75" hidden="true" customHeight="false" outlineLevel="0" collapsed="false">
      <c r="A9" s="3" t="n">
        <v>3</v>
      </c>
      <c r="B9" s="3" t="n">
        <v>3.3</v>
      </c>
      <c r="C9" s="3" t="s">
        <v>261</v>
      </c>
      <c r="D9" s="3" t="s">
        <v>220</v>
      </c>
      <c r="E9" s="3" t="n">
        <v>0.0618615490753746</v>
      </c>
      <c r="F9" s="3" t="n">
        <v>0.0651262601558023</v>
      </c>
      <c r="G9" s="3" t="n">
        <v>0.0414101154817162</v>
      </c>
      <c r="H9" s="3" t="n">
        <v>0.000926118915216679</v>
      </c>
      <c r="I9" s="3" t="n">
        <v>0.0135654007370002</v>
      </c>
      <c r="J9" s="3" t="n">
        <v>0.0150272337706038</v>
      </c>
      <c r="K9" s="3" t="n">
        <v>0.00977477812101493</v>
      </c>
      <c r="L9" s="3" t="n">
        <v>1.31705472871681E-029</v>
      </c>
      <c r="M9" s="3" t="n">
        <v>0.0243807628108704</v>
      </c>
      <c r="N9" s="3" t="n">
        <v>0</v>
      </c>
      <c r="O9" s="3" t="n">
        <v>0.0124416916144938</v>
      </c>
      <c r="P9" s="3" t="n">
        <v>0</v>
      </c>
      <c r="Q9" s="3" t="n">
        <v>0.026687532684059</v>
      </c>
      <c r="R9" s="3" t="n">
        <v>2.10728756594691E-028</v>
      </c>
      <c r="S9" s="3" t="n">
        <v>0.00942059390652167</v>
      </c>
      <c r="T9" s="3" t="n">
        <v>0</v>
      </c>
      <c r="U9" s="3" t="n">
        <v>0.0439818107217411</v>
      </c>
      <c r="V9" s="3" t="n">
        <v>0</v>
      </c>
      <c r="W9" s="3" t="n">
        <v>3.20339951231874E-007</v>
      </c>
      <c r="X9" s="3" t="n">
        <v>0.00151400459796271</v>
      </c>
      <c r="Y9" s="3" t="n">
        <v>2.93104043405789E-007</v>
      </c>
      <c r="Z9" s="3" t="n">
        <v>0.00110643428762905</v>
      </c>
      <c r="AA9" s="3" t="n">
        <v>8.60381213840564E-007</v>
      </c>
      <c r="AB9" s="3" t="n">
        <v>0.000352053336412739</v>
      </c>
      <c r="AC9" s="3" t="n">
        <v>0.00357176192970959</v>
      </c>
      <c r="AD9" s="3" t="n">
        <v>0.0122644497673905</v>
      </c>
      <c r="AE9" s="3" t="n">
        <v>0.0306893975043482</v>
      </c>
      <c r="AF9" s="3" t="n">
        <v>0.00159393871304356</v>
      </c>
      <c r="AG9" s="3" t="n">
        <v>2.10728756594691E-028</v>
      </c>
      <c r="AH9" s="3" t="n">
        <v>0.00283941634130442</v>
      </c>
      <c r="AI9" s="3" t="n">
        <v>7.03383110124033E-034</v>
      </c>
      <c r="AJ9" s="3" t="n">
        <v>0.00185473117391313</v>
      </c>
      <c r="AK9" s="3" t="n">
        <v>0</v>
      </c>
      <c r="AL9" s="3" t="n">
        <v>1.77739238840578E-006</v>
      </c>
      <c r="AM9" s="3" t="n">
        <v>0.0025670990026096</v>
      </c>
      <c r="AN9" s="3" t="n">
        <v>5.78588251586987E-006</v>
      </c>
      <c r="AO9" s="3" t="n">
        <v>0.00106652663444107</v>
      </c>
      <c r="AP9" s="3" t="n">
        <v>1.41987306984781E-005</v>
      </c>
      <c r="AQ9" s="3" t="n">
        <v>0.00174167761644894</v>
      </c>
      <c r="AR9" s="3" t="n">
        <v>0.00879446813623033</v>
      </c>
      <c r="AS9" s="3" t="n">
        <v>0.00991054557608677</v>
      </c>
      <c r="AT9" s="3" t="n">
        <v>0.0657929505971011</v>
      </c>
      <c r="AU9" s="3" t="n">
        <v>4.74543860141062E-008</v>
      </c>
      <c r="AV9" s="3" t="n">
        <v>5.15982849277056E-008</v>
      </c>
      <c r="AW9" s="3" t="n">
        <v>1.31608229565216E-007</v>
      </c>
      <c r="AX9" s="3" t="n">
        <v>3.72613302511268E-007</v>
      </c>
      <c r="AY9" s="3" t="n">
        <v>2.7390307999649E-007</v>
      </c>
      <c r="AZ9" s="3" t="n">
        <v>1.99961442791808E-007</v>
      </c>
      <c r="BA9" s="3" t="n">
        <v>0.000212967179596407</v>
      </c>
      <c r="BB9" s="3" t="n">
        <v>0.00015472982459644</v>
      </c>
      <c r="BC9" s="3" t="n">
        <v>0.00011150226572407</v>
      </c>
      <c r="BD9" s="3" t="n">
        <v>5.67727588914271E-007</v>
      </c>
      <c r="BE9" s="3" t="n">
        <v>6.49361557977106E-009</v>
      </c>
      <c r="BF9" s="3" t="n">
        <v>1.44635561362305E-006</v>
      </c>
      <c r="BG9" s="3" t="n">
        <v>2.46969191106284E-007</v>
      </c>
      <c r="BH9" s="3" t="n">
        <v>2.1157143588121E-007</v>
      </c>
      <c r="BI9" s="3" t="n">
        <v>0.000118493957293851</v>
      </c>
      <c r="BJ9" s="3" t="n">
        <v>0.000106022955172959</v>
      </c>
      <c r="BK9" s="3" t="n">
        <v>6.7761053682398E-005</v>
      </c>
      <c r="BL9" s="3" t="n">
        <v>0.0379587753017586</v>
      </c>
      <c r="BM9" s="3" t="n">
        <v>0.0100880705389497</v>
      </c>
      <c r="BN9" s="3" t="n">
        <v>0.0121039129302533</v>
      </c>
      <c r="BO9" s="3" t="n">
        <v>0.0142622580389487</v>
      </c>
      <c r="BP9" s="3" t="n">
        <v>0</v>
      </c>
      <c r="BQ9" s="3" t="n">
        <v>0</v>
      </c>
      <c r="BR9" s="3" t="n">
        <v>0</v>
      </c>
      <c r="BS9" s="169"/>
      <c r="BT9" s="169"/>
      <c r="BU9" s="169"/>
      <c r="BV9" s="169"/>
      <c r="BW9" s="169"/>
      <c r="BX9" s="169"/>
      <c r="BY9" s="169"/>
    </row>
    <row r="10" customFormat="false" ht="12.75" hidden="true" customHeight="false" outlineLevel="0" collapsed="false">
      <c r="A10" s="3" t="n">
        <v>3</v>
      </c>
      <c r="B10" s="3" t="n">
        <v>3.3</v>
      </c>
      <c r="C10" s="3" t="s">
        <v>262</v>
      </c>
      <c r="D10" s="3" t="s">
        <v>220</v>
      </c>
      <c r="E10" s="3" t="n">
        <v>0.0505089151992791</v>
      </c>
      <c r="F10" s="3" t="n">
        <v>0.0471217289036107</v>
      </c>
      <c r="G10" s="3" t="n">
        <v>0.0698688305260007</v>
      </c>
      <c r="H10" s="3" t="n">
        <v>0.000905196831884322</v>
      </c>
      <c r="I10" s="3" t="n">
        <v>0.0113089546219963</v>
      </c>
      <c r="J10" s="3" t="n">
        <v>0.0116655309688058</v>
      </c>
      <c r="K10" s="3" t="n">
        <v>0.0115834849036211</v>
      </c>
      <c r="L10" s="3" t="n">
        <v>1.31705472871681E-029</v>
      </c>
      <c r="M10" s="3" t="n">
        <v>0.020522040706523</v>
      </c>
      <c r="N10" s="3" t="n">
        <v>0</v>
      </c>
      <c r="O10" s="3" t="n">
        <v>0.00947333500796814</v>
      </c>
      <c r="P10" s="3" t="n">
        <v>3.51214594324485E-029</v>
      </c>
      <c r="Q10" s="3" t="n">
        <v>0.0359130574775408</v>
      </c>
      <c r="R10" s="3" t="n">
        <v>2.10728756594691E-028</v>
      </c>
      <c r="S10" s="3" t="n">
        <v>0.0108440208166669</v>
      </c>
      <c r="T10" s="3" t="n">
        <v>0</v>
      </c>
      <c r="U10" s="3" t="n">
        <v>0.0392780754521758</v>
      </c>
      <c r="V10" s="3" t="n">
        <v>0</v>
      </c>
      <c r="W10" s="3" t="n">
        <v>1.57603881086964E-007</v>
      </c>
      <c r="X10" s="3" t="n">
        <v>0.000578494677338362</v>
      </c>
      <c r="Y10" s="3" t="n">
        <v>3.00771715869598E-007</v>
      </c>
      <c r="Z10" s="3" t="n">
        <v>0.000565727831079002</v>
      </c>
      <c r="AA10" s="3" t="n">
        <v>2.60527782536222E-007</v>
      </c>
      <c r="AB10" s="3" t="n">
        <v>0.000489943217869908</v>
      </c>
      <c r="AC10" s="3" t="n">
        <v>0.0156104935297103</v>
      </c>
      <c r="AD10" s="3" t="n">
        <v>0.021599874399998</v>
      </c>
      <c r="AE10" s="3" t="n">
        <v>0.0143885974695665</v>
      </c>
      <c r="AF10" s="3" t="n">
        <v>0.00131334403405792</v>
      </c>
      <c r="AG10" s="3" t="n">
        <v>2.10728756594691E-028</v>
      </c>
      <c r="AH10" s="3" t="n">
        <v>0.00255927119999992</v>
      </c>
      <c r="AI10" s="3" t="n">
        <v>6.69888676308603E-034</v>
      </c>
      <c r="AJ10" s="3" t="n">
        <v>0.00228825827173936</v>
      </c>
      <c r="AK10" s="3" t="n">
        <v>0</v>
      </c>
      <c r="AL10" s="3" t="n">
        <v>1.57473427449292E-006</v>
      </c>
      <c r="AM10" s="3" t="n">
        <v>0.000535310192768306</v>
      </c>
      <c r="AN10" s="3" t="n">
        <v>4.14382041731835E-006</v>
      </c>
      <c r="AO10" s="3" t="n">
        <v>8.352608062627E-005</v>
      </c>
      <c r="AP10" s="3" t="n">
        <v>8.32757245326066E-006</v>
      </c>
      <c r="AQ10" s="3" t="n">
        <v>0.00116737111470502</v>
      </c>
      <c r="AR10" s="3" t="n">
        <v>0.0335808689152156</v>
      </c>
      <c r="AS10" s="3" t="n">
        <v>0.0158872026079723</v>
      </c>
      <c r="AT10" s="3" t="n">
        <v>0.0568245095065176</v>
      </c>
      <c r="AU10" s="3" t="n">
        <v>1.99875651446183E-008</v>
      </c>
      <c r="AV10" s="3" t="n">
        <v>1.93610849275596E-008</v>
      </c>
      <c r="AW10" s="3" t="n">
        <v>1.29945241449568E-007</v>
      </c>
      <c r="AX10" s="3" t="n">
        <v>2.3398650699699E-007</v>
      </c>
      <c r="AY10" s="3" t="n">
        <v>2.36129859705941E-007</v>
      </c>
      <c r="AZ10" s="3" t="n">
        <v>1.66179295407248E-007</v>
      </c>
      <c r="BA10" s="3" t="n">
        <v>0.000132623475553816</v>
      </c>
      <c r="BB10" s="3" t="n">
        <v>0.000134897283882192</v>
      </c>
      <c r="BC10" s="3" t="n">
        <v>9.99717000372609E-005</v>
      </c>
      <c r="BD10" s="3" t="n">
        <v>1.37823596232268E-007</v>
      </c>
      <c r="BE10" s="3" t="n">
        <v>1.66041692753619E-008</v>
      </c>
      <c r="BF10" s="3" t="n">
        <v>1.01743017623092E-006</v>
      </c>
      <c r="BG10" s="3" t="n">
        <v>2.10194915312744E-007</v>
      </c>
      <c r="BH10" s="3" t="n">
        <v>1.05130678314749E-006</v>
      </c>
      <c r="BI10" s="3" t="n">
        <v>9.25919080876136E-005</v>
      </c>
      <c r="BJ10" s="3" t="n">
        <v>6.72351472632599E-005</v>
      </c>
      <c r="BK10" s="3" t="n">
        <v>0.000335823551272551</v>
      </c>
      <c r="BL10" s="3" t="n">
        <v>0.0297331479363906</v>
      </c>
      <c r="BM10" s="3" t="n">
        <v>0.0430366606154395</v>
      </c>
      <c r="BN10" s="3" t="n">
        <v>0.0170761493432968</v>
      </c>
      <c r="BO10" s="3" t="n">
        <v>0.0101340630912848</v>
      </c>
      <c r="BP10" s="3" t="n">
        <v>0</v>
      </c>
      <c r="BQ10" s="3" t="n">
        <v>0</v>
      </c>
      <c r="BR10" s="3" t="n">
        <v>0</v>
      </c>
      <c r="BS10" s="169"/>
      <c r="BT10" s="169"/>
      <c r="BU10" s="169"/>
      <c r="BV10" s="169"/>
      <c r="BW10" s="169"/>
      <c r="BX10" s="169"/>
      <c r="BY10" s="169"/>
    </row>
    <row r="11" customFormat="false" ht="12.75" hidden="true" customHeight="false" outlineLevel="0" collapsed="false">
      <c r="A11" s="3" t="n">
        <v>3</v>
      </c>
      <c r="B11" s="3" t="n">
        <v>3.4</v>
      </c>
      <c r="C11" s="3" t="s">
        <v>263</v>
      </c>
      <c r="D11" s="3" t="s">
        <v>220</v>
      </c>
      <c r="E11" s="3" t="n">
        <v>0.306161384127572</v>
      </c>
      <c r="F11" s="3" t="n">
        <v>0.269777761158676</v>
      </c>
      <c r="G11" s="3" t="n">
        <v>0.280100224193291</v>
      </c>
      <c r="H11" s="3" t="n">
        <v>0.00376944370362375</v>
      </c>
      <c r="I11" s="3" t="n">
        <v>0.0430939290545062</v>
      </c>
      <c r="J11" s="3" t="n">
        <v>0.0460811433649229</v>
      </c>
      <c r="K11" s="3" t="n">
        <v>0.0153131415623181</v>
      </c>
      <c r="L11" s="3" t="n">
        <v>1.48168656980642E-029</v>
      </c>
      <c r="M11" s="3" t="n">
        <v>0.0414271063652138</v>
      </c>
      <c r="N11" s="3" t="n">
        <v>0</v>
      </c>
      <c r="O11" s="3" t="n">
        <v>0.0147201728695663</v>
      </c>
      <c r="P11" s="3" t="n">
        <v>0</v>
      </c>
      <c r="Q11" s="3" t="n">
        <v>0.0484287060521734</v>
      </c>
      <c r="R11" s="3" t="n">
        <v>2.10728756594691E-028</v>
      </c>
      <c r="S11" s="3" t="n">
        <v>0.0170801272630415</v>
      </c>
      <c r="T11" s="3" t="n">
        <v>0</v>
      </c>
      <c r="U11" s="3" t="n">
        <v>0.0514943059471036</v>
      </c>
      <c r="V11" s="3" t="n">
        <v>0</v>
      </c>
      <c r="W11" s="3" t="n">
        <v>1.41633884340585E-006</v>
      </c>
      <c r="X11" s="3" t="n">
        <v>0.0068274837733891</v>
      </c>
      <c r="Y11" s="3" t="n">
        <v>1.20808161826093E-006</v>
      </c>
      <c r="Z11" s="3" t="n">
        <v>0.00842939284128087</v>
      </c>
      <c r="AA11" s="3" t="n">
        <v>8.5591508108682E-007</v>
      </c>
      <c r="AB11" s="3" t="n">
        <v>0.00446633127541949</v>
      </c>
      <c r="AC11" s="3" t="n">
        <v>0.163827016669568</v>
      </c>
      <c r="AD11" s="3" t="n">
        <v>0.0434488686231912</v>
      </c>
      <c r="AE11" s="3" t="n">
        <v>0.0592737672579705</v>
      </c>
      <c r="AF11" s="3" t="n">
        <v>0.00262733269275373</v>
      </c>
      <c r="AG11" s="3" t="n">
        <v>2.10728756594691E-028</v>
      </c>
      <c r="AH11" s="3" t="n">
        <v>0.00305481159347818</v>
      </c>
      <c r="AI11" s="3" t="n">
        <v>1.87568829366409E-033</v>
      </c>
      <c r="AJ11" s="3" t="n">
        <v>0.00350121881087001</v>
      </c>
      <c r="AK11" s="3" t="n">
        <v>0</v>
      </c>
      <c r="AL11" s="3" t="n">
        <v>6.90947966144864E-006</v>
      </c>
      <c r="AM11" s="3" t="n">
        <v>0.000356858571076387</v>
      </c>
      <c r="AN11" s="3" t="n">
        <v>1.329510317558E-005</v>
      </c>
      <c r="AO11" s="3" t="n">
        <v>0.000970161616451679</v>
      </c>
      <c r="AP11" s="3" t="n">
        <v>8.9401190744922E-006</v>
      </c>
      <c r="AQ11" s="3" t="n">
        <v>0.00501762754109993</v>
      </c>
      <c r="AR11" s="3" t="n">
        <v>0.0471712509884024</v>
      </c>
      <c r="AS11" s="3" t="n">
        <v>0.357068905628264</v>
      </c>
      <c r="AT11" s="3" t="n">
        <v>0.088223858710151</v>
      </c>
      <c r="AU11" s="3" t="n">
        <v>1.50334660146469E-008</v>
      </c>
      <c r="AV11" s="3" t="n">
        <v>1.60321263043796E-008</v>
      </c>
      <c r="AW11" s="3" t="n">
        <v>1.08112475361925E-008</v>
      </c>
      <c r="AX11" s="3" t="n">
        <v>3.56683233971413E-007</v>
      </c>
      <c r="AY11" s="3" t="n">
        <v>3.50166762513042E-007</v>
      </c>
      <c r="AZ11" s="3" t="n">
        <v>1.84635425806688E-007</v>
      </c>
      <c r="BA11" s="3" t="n">
        <v>0.000207674409681788</v>
      </c>
      <c r="BB11" s="3" t="n">
        <v>0.000202897544199073</v>
      </c>
      <c r="BC11" s="3" t="n">
        <v>0.000107792047325238</v>
      </c>
      <c r="BD11" s="3" t="n">
        <v>1.33203620990617E-005</v>
      </c>
      <c r="BE11" s="3" t="n">
        <v>8.18952579703757E-009</v>
      </c>
      <c r="BF11" s="3" t="n">
        <v>1.57797964056852E-007</v>
      </c>
      <c r="BG11" s="3" t="n">
        <v>4.10083318140135E-007</v>
      </c>
      <c r="BH11" s="3" t="n">
        <v>3.69843061681716E-006</v>
      </c>
      <c r="BI11" s="3" t="n">
        <v>7.67100124801583E-006</v>
      </c>
      <c r="BJ11" s="3" t="n">
        <v>0.000527954106137699</v>
      </c>
      <c r="BK11" s="3" t="n">
        <v>0.00124865693595008</v>
      </c>
      <c r="BL11" s="3" t="n">
        <v>0.00243249941350533</v>
      </c>
      <c r="BM11" s="3" t="n">
        <v>0</v>
      </c>
      <c r="BN11" s="3" t="n">
        <v>0</v>
      </c>
      <c r="BO11" s="3" t="n">
        <v>0</v>
      </c>
      <c r="BP11" s="3" t="n">
        <v>0.0419579862998155</v>
      </c>
      <c r="BQ11" s="3" t="n">
        <v>0.308913686141312</v>
      </c>
      <c r="BR11" s="3" t="n">
        <v>0.0672147625679377</v>
      </c>
      <c r="BS11" s="169"/>
      <c r="BT11" s="169"/>
      <c r="BU11" s="169"/>
      <c r="BV11" s="169"/>
      <c r="BW11" s="169"/>
      <c r="BX11" s="169"/>
      <c r="BY11" s="169"/>
    </row>
    <row r="12" customFormat="false" ht="12.75" hidden="true" customHeight="false" outlineLevel="0" collapsed="false">
      <c r="A12" s="3" t="n">
        <v>3</v>
      </c>
      <c r="B12" s="3" t="n">
        <v>3.4</v>
      </c>
      <c r="C12" s="3" t="s">
        <v>264</v>
      </c>
      <c r="D12" s="3" t="s">
        <v>220</v>
      </c>
      <c r="E12" s="3" t="n">
        <v>0.507569630990628</v>
      </c>
      <c r="F12" s="3" t="n">
        <v>0.431649714045693</v>
      </c>
      <c r="G12" s="3" t="n">
        <v>0.539229356823637</v>
      </c>
      <c r="H12" s="3" t="n">
        <v>0.00419771967536545</v>
      </c>
      <c r="I12" s="3" t="n">
        <v>0.0837552092856655</v>
      </c>
      <c r="J12" s="3" t="n">
        <v>0.0844863189381252</v>
      </c>
      <c r="K12" s="3" t="n">
        <v>0.0151369480630418</v>
      </c>
      <c r="L12" s="3" t="n">
        <v>1.31705472871681E-029</v>
      </c>
      <c r="M12" s="3" t="n">
        <v>0.0478755086695665</v>
      </c>
      <c r="N12" s="3" t="n">
        <v>0</v>
      </c>
      <c r="O12" s="3" t="n">
        <v>0.0165240524688411</v>
      </c>
      <c r="P12" s="3" t="n">
        <v>0</v>
      </c>
      <c r="Q12" s="3" t="n">
        <v>0.0478508501449267</v>
      </c>
      <c r="R12" s="3" t="n">
        <v>2.10728756594691E-028</v>
      </c>
      <c r="S12" s="3" t="n">
        <v>0.0174036065036233</v>
      </c>
      <c r="T12" s="3" t="n">
        <v>0</v>
      </c>
      <c r="U12" s="3" t="n">
        <v>0.0515215995565224</v>
      </c>
      <c r="V12" s="3" t="n">
        <v>0</v>
      </c>
      <c r="W12" s="3" t="n">
        <v>7.95196373840557E-007</v>
      </c>
      <c r="X12" s="3" t="n">
        <v>0.000165576430376085</v>
      </c>
      <c r="Y12" s="3" t="n">
        <v>3.56876111014548E-007</v>
      </c>
      <c r="Z12" s="3" t="n">
        <v>0.000181200313229494</v>
      </c>
      <c r="AA12" s="3" t="n">
        <v>6.05071995362456E-007</v>
      </c>
      <c r="AB12" s="3" t="n">
        <v>0.000535888515120106</v>
      </c>
      <c r="AC12" s="3" t="n">
        <v>0.0517574008514566</v>
      </c>
      <c r="AD12" s="3" t="n">
        <v>0.0950012246427505</v>
      </c>
      <c r="AE12" s="3" t="n">
        <v>0.0793841054601319</v>
      </c>
      <c r="AF12" s="3" t="n">
        <v>0.00307159600000015</v>
      </c>
      <c r="AG12" s="3" t="n">
        <v>2.10728756594691E-028</v>
      </c>
      <c r="AH12" s="3" t="n">
        <v>0.00350304234710117</v>
      </c>
      <c r="AI12" s="3" t="n">
        <v>1.07182188209376E-033</v>
      </c>
      <c r="AJ12" s="3" t="n">
        <v>0.00277380752971039</v>
      </c>
      <c r="AK12" s="3" t="n">
        <v>0</v>
      </c>
      <c r="AL12" s="3" t="n">
        <v>3.11889045558023E-006</v>
      </c>
      <c r="AM12" s="3" t="n">
        <v>0.000223258138540502</v>
      </c>
      <c r="AN12" s="3" t="n">
        <v>1.14109421518838E-005</v>
      </c>
      <c r="AO12" s="3" t="n">
        <v>0.00035483687990177</v>
      </c>
      <c r="AP12" s="3" t="n">
        <v>5.28503810253651E-006</v>
      </c>
      <c r="AQ12" s="3" t="n">
        <v>0.00039503594269907</v>
      </c>
      <c r="AR12" s="3" t="n">
        <v>0.0588022998347827</v>
      </c>
      <c r="AS12" s="3" t="n">
        <v>0.0917680800579742</v>
      </c>
      <c r="AT12" s="3" t="n">
        <v>0.186495526607973</v>
      </c>
      <c r="AU12" s="3" t="n">
        <v>5.24697739122693E-009</v>
      </c>
      <c r="AV12" s="3" t="n">
        <v>1.09862875361354E-008</v>
      </c>
      <c r="AW12" s="3" t="n">
        <v>2.9687092753212E-009</v>
      </c>
      <c r="AX12" s="3" t="n">
        <v>1.26835285406405E-006</v>
      </c>
      <c r="AY12" s="3" t="n">
        <v>2.20851980668484E-007</v>
      </c>
      <c r="AZ12" s="3" t="n">
        <v>3.99010904931919E-007</v>
      </c>
      <c r="BA12" s="3" t="n">
        <v>0.000734707178510196</v>
      </c>
      <c r="BB12" s="3" t="n">
        <v>0.000127822957947385</v>
      </c>
      <c r="BC12" s="3" t="n">
        <v>0.000229272692033323</v>
      </c>
      <c r="BD12" s="3" t="n">
        <v>1.01796294493041E-007</v>
      </c>
      <c r="BE12" s="3" t="n">
        <v>8.20295644938551E-009</v>
      </c>
      <c r="BF12" s="3" t="n">
        <v>2.37179130435801E-008</v>
      </c>
      <c r="BG12" s="3" t="n">
        <v>2.04045442573815E-007</v>
      </c>
      <c r="BH12" s="3" t="n">
        <v>2.20736150370133E-007</v>
      </c>
      <c r="BI12" s="3" t="n">
        <v>1.61863857594763E-006</v>
      </c>
      <c r="BJ12" s="3" t="n">
        <v>6.13731761689881E-005</v>
      </c>
      <c r="BK12" s="3" t="n">
        <v>7.28025196297649E-005</v>
      </c>
      <c r="BL12" s="3" t="n">
        <v>0.000519982673771832</v>
      </c>
      <c r="BM12" s="3" t="n">
        <v>0</v>
      </c>
      <c r="BN12" s="3" t="n">
        <v>0</v>
      </c>
      <c r="BO12" s="3" t="n">
        <v>0</v>
      </c>
      <c r="BP12" s="3" t="n">
        <v>0.064825852807973</v>
      </c>
      <c r="BQ12" s="3" t="n">
        <v>0.121885103260868</v>
      </c>
      <c r="BR12" s="3" t="n">
        <v>0.177435262228267</v>
      </c>
      <c r="BS12" s="169"/>
      <c r="BT12" s="169"/>
      <c r="BU12" s="169"/>
      <c r="BV12" s="169"/>
      <c r="BW12" s="169"/>
      <c r="BX12" s="169"/>
      <c r="BY12" s="169"/>
    </row>
    <row r="13" customFormat="false" ht="12.75" hidden="true" customHeight="false" outlineLevel="0" collapsed="false">
      <c r="A13" s="3" t="n">
        <v>3</v>
      </c>
      <c r="B13" s="3" t="n">
        <v>3.4</v>
      </c>
      <c r="C13" s="3" t="s">
        <v>265</v>
      </c>
      <c r="D13" s="3" t="s">
        <v>220</v>
      </c>
      <c r="E13" s="3" t="n">
        <v>0.355414802138422</v>
      </c>
      <c r="F13" s="3" t="n">
        <v>0.306039033284026</v>
      </c>
      <c r="G13" s="3" t="n">
        <v>0.29083640509439</v>
      </c>
      <c r="H13" s="3" t="n">
        <v>0.00228385604565636</v>
      </c>
      <c r="I13" s="3" t="n">
        <v>0.0943546342540209</v>
      </c>
      <c r="J13" s="3" t="n">
        <v>0.104890810390731</v>
      </c>
      <c r="K13" s="3" t="n">
        <v>0.00787708632970988</v>
      </c>
      <c r="L13" s="3" t="n">
        <v>1.31705472871681E-029</v>
      </c>
      <c r="M13" s="3" t="n">
        <v>0.020146252997101</v>
      </c>
      <c r="N13" s="3" t="n">
        <v>0</v>
      </c>
      <c r="O13" s="3" t="n">
        <v>0.00684543610434764</v>
      </c>
      <c r="P13" s="3" t="n">
        <v>0</v>
      </c>
      <c r="Q13" s="3" t="n">
        <v>0.0283673519884065</v>
      </c>
      <c r="R13" s="3" t="n">
        <v>2.10728756594691E-028</v>
      </c>
      <c r="S13" s="3" t="n">
        <v>0.0112034046021733</v>
      </c>
      <c r="T13" s="3" t="n">
        <v>0</v>
      </c>
      <c r="U13" s="3" t="n">
        <v>0.0292591613449223</v>
      </c>
      <c r="V13" s="3" t="n">
        <v>0</v>
      </c>
      <c r="W13" s="3" t="n">
        <v>1.01808032579708E-006</v>
      </c>
      <c r="X13" s="3" t="n">
        <v>0.000414842633349112</v>
      </c>
      <c r="Y13" s="3" t="n">
        <v>4.96715360000017E-007</v>
      </c>
      <c r="Z13" s="3" t="n">
        <v>0.000180733087147365</v>
      </c>
      <c r="AA13" s="3" t="n">
        <v>9.35054970145005E-007</v>
      </c>
      <c r="AB13" s="3" t="n">
        <v>0.000246362906932832</v>
      </c>
      <c r="AC13" s="3" t="n">
        <v>0.0880854817036298</v>
      </c>
      <c r="AD13" s="3" t="n">
        <v>0.0188456595014492</v>
      </c>
      <c r="AE13" s="3" t="n">
        <v>0.0612846241623149</v>
      </c>
      <c r="AF13" s="3" t="n">
        <v>0.0013654369384059</v>
      </c>
      <c r="AG13" s="3" t="n">
        <v>3.51214594324485E-029</v>
      </c>
      <c r="AH13" s="3" t="n">
        <v>0.0019924700492754</v>
      </c>
      <c r="AI13" s="3" t="n">
        <v>2.14364376418753E-033</v>
      </c>
      <c r="AJ13" s="3" t="n">
        <v>0.00213200168043505</v>
      </c>
      <c r="AK13" s="3" t="n">
        <v>0</v>
      </c>
      <c r="AL13" s="3" t="n">
        <v>4.35420480927545E-006</v>
      </c>
      <c r="AM13" s="3" t="n">
        <v>0.000620131710861974</v>
      </c>
      <c r="AN13" s="3" t="n">
        <v>1.24319501576096E-005</v>
      </c>
      <c r="AO13" s="3" t="n">
        <v>0.00059028577657929</v>
      </c>
      <c r="AP13" s="3" t="n">
        <v>2.67481335065227E-006</v>
      </c>
      <c r="AQ13" s="3" t="n">
        <v>0.000451261379644163</v>
      </c>
      <c r="AR13" s="3" t="n">
        <v>0.0497285867101422</v>
      </c>
      <c r="AS13" s="3" t="n">
        <v>0.18570102748696</v>
      </c>
      <c r="AT13" s="3" t="n">
        <v>0.0265513719043414</v>
      </c>
      <c r="AU13" s="3" t="n">
        <v>1.10512399274746E-008</v>
      </c>
      <c r="AV13" s="3" t="n">
        <v>8.64365152165504E-009</v>
      </c>
      <c r="AW13" s="3" t="n">
        <v>2.83583536234169E-009</v>
      </c>
      <c r="AX13" s="3" t="n">
        <v>7.0168249288285E-007</v>
      </c>
      <c r="AY13" s="3" t="n">
        <v>1.35223601750264E-007</v>
      </c>
      <c r="AZ13" s="3" t="n">
        <v>2.76029697290248E-007</v>
      </c>
      <c r="BA13" s="3" t="n">
        <v>0.000408761633428878</v>
      </c>
      <c r="BB13" s="3" t="n">
        <v>7.72504766009192E-005</v>
      </c>
      <c r="BC13" s="3" t="n">
        <v>0.000159643541676567</v>
      </c>
      <c r="BD13" s="3" t="n">
        <v>1.60827255000667E-007</v>
      </c>
      <c r="BE13" s="3" t="n">
        <v>1.93228031884605E-008</v>
      </c>
      <c r="BF13" s="3" t="n">
        <v>1.66934427754435E-007</v>
      </c>
      <c r="BG13" s="3" t="n">
        <v>1.96976581103995E-007</v>
      </c>
      <c r="BH13" s="3" t="n">
        <v>3.66614921813146E-007</v>
      </c>
      <c r="BI13" s="3" t="n">
        <v>1.10253443566284E-005</v>
      </c>
      <c r="BJ13" s="3" t="n">
        <v>5.66334114200537E-005</v>
      </c>
      <c r="BK13" s="3" t="n">
        <v>0.00012609809378397</v>
      </c>
      <c r="BL13" s="3" t="n">
        <v>0.00351851062928813</v>
      </c>
      <c r="BM13" s="3" t="n">
        <v>0</v>
      </c>
      <c r="BN13" s="3" t="n">
        <v>0</v>
      </c>
      <c r="BO13" s="3" t="n">
        <v>0</v>
      </c>
      <c r="BP13" s="3" t="n">
        <v>0.0399854959239089</v>
      </c>
      <c r="BQ13" s="3" t="n">
        <v>0.187960491734616</v>
      </c>
      <c r="BR13" s="3" t="n">
        <v>0.0243328558650353</v>
      </c>
      <c r="BS13" s="169"/>
      <c r="BT13" s="169"/>
      <c r="BU13" s="169"/>
      <c r="BV13" s="169"/>
      <c r="BW13" s="169"/>
      <c r="BX13" s="169"/>
      <c r="BY13" s="169"/>
    </row>
    <row r="14" customFormat="false" ht="12.75" hidden="true" customHeight="false" outlineLevel="0" collapsed="false">
      <c r="A14" s="3" t="n">
        <v>4</v>
      </c>
      <c r="B14" s="3" t="n">
        <v>4.1</v>
      </c>
      <c r="C14" s="3" t="s">
        <v>266</v>
      </c>
      <c r="D14" s="3" t="s">
        <v>220</v>
      </c>
      <c r="E14" s="3" t="n">
        <v>0.00300705740904352</v>
      </c>
      <c r="F14" s="3" t="n">
        <v>1.72322750573923E-005</v>
      </c>
      <c r="G14" s="3" t="n">
        <v>4.87264875699879E-005</v>
      </c>
      <c r="H14" s="3" t="n">
        <v>0.0031502418573532</v>
      </c>
      <c r="I14" s="3" t="n">
        <v>6.26192243793028E-005</v>
      </c>
      <c r="J14" s="3" t="n">
        <v>0.00320256581575947</v>
      </c>
      <c r="K14" s="3" t="n">
        <v>0.0186242190949242</v>
      </c>
      <c r="L14" s="168" t="n">
        <v>1.31705472871681E-029</v>
      </c>
      <c r="M14" s="3" t="n">
        <v>0.0445295859760869</v>
      </c>
      <c r="N14" s="3" t="n">
        <v>0</v>
      </c>
      <c r="O14" s="3" t="n">
        <v>0.0139056275123197</v>
      </c>
      <c r="P14" s="3" t="n">
        <v>3.51214594324485E-029</v>
      </c>
      <c r="Q14" s="3" t="n">
        <v>0.0485956554427525</v>
      </c>
      <c r="R14" s="168" t="n">
        <v>2.10728756594691E-028</v>
      </c>
      <c r="S14" s="3" t="n">
        <v>0.0194458450543457</v>
      </c>
      <c r="T14" s="3" t="n">
        <v>0</v>
      </c>
      <c r="U14" s="3" t="n">
        <v>0.0627961723710069</v>
      </c>
      <c r="V14" s="3" t="n">
        <v>0</v>
      </c>
      <c r="W14" s="168" t="n">
        <v>1.55499447593473E-007</v>
      </c>
      <c r="X14" s="168" t="n">
        <v>7.17418482949238E-005</v>
      </c>
      <c r="Y14" s="168" t="n">
        <v>2.37037898179719E-007</v>
      </c>
      <c r="Z14" s="168" t="n">
        <v>0.000199308215291676</v>
      </c>
      <c r="AA14" s="168" t="n">
        <v>1.4222880026667E-007</v>
      </c>
      <c r="AB14" s="168" t="n">
        <v>0.000204292359338337</v>
      </c>
      <c r="AC14" s="3" t="n">
        <v>0.00174231176486232</v>
      </c>
      <c r="AD14" s="3" t="n">
        <v>0.000481173421210161</v>
      </c>
      <c r="AE14" s="3" t="n">
        <v>0.000117585092173915</v>
      </c>
      <c r="AF14" s="3" t="n">
        <v>0.00281173340797086</v>
      </c>
      <c r="AG14" s="168" t="n">
        <v>1.0048330144629E-034</v>
      </c>
      <c r="AH14" s="3" t="n">
        <v>0.00397499299710104</v>
      </c>
      <c r="AI14" s="3" t="n">
        <v>0</v>
      </c>
      <c r="AJ14" s="3" t="n">
        <v>0.00307423888405798</v>
      </c>
      <c r="AK14" s="168" t="n">
        <v>0</v>
      </c>
      <c r="AL14" s="168" t="n">
        <v>2.84528158050754E-007</v>
      </c>
      <c r="AM14" s="168" t="n">
        <v>0.0317233650894055</v>
      </c>
      <c r="AN14" s="168" t="n">
        <v>9.42971850063051E-009</v>
      </c>
      <c r="AO14" s="168" t="n">
        <v>0.000711873827440315</v>
      </c>
      <c r="AP14" s="168" t="n">
        <v>2.40942443315225E-009</v>
      </c>
      <c r="AQ14" s="168" t="n">
        <v>0.000510482469044956</v>
      </c>
      <c r="AR14" s="3" t="n">
        <v>1.04627611101443E-006</v>
      </c>
      <c r="AS14" s="168" t="n">
        <v>8.7536930880434E-006</v>
      </c>
      <c r="AT14" s="3" t="n">
        <v>3.99131986601465E-006</v>
      </c>
      <c r="AU14" s="168" t="n">
        <v>9.45544484059273E-008</v>
      </c>
      <c r="AV14" s="168" t="n">
        <v>3.42845794130859E-007</v>
      </c>
      <c r="AW14" s="168" t="n">
        <v>6.02297925145146E-007</v>
      </c>
      <c r="AX14" s="168" t="n">
        <v>1.54915068792391E-008</v>
      </c>
      <c r="AY14" s="168" t="n">
        <v>4.44993359031881E-008</v>
      </c>
      <c r="AZ14" s="168" t="n">
        <v>1.52665262170052E-008</v>
      </c>
      <c r="BA14" s="3" t="n">
        <v>9.13905218569261E-006</v>
      </c>
      <c r="BB14" s="3" t="n">
        <v>2.6131578331744E-005</v>
      </c>
      <c r="BC14" s="168" t="n">
        <v>9.05272404441951E-006</v>
      </c>
      <c r="BD14" s="168" t="n">
        <v>1.91415065215193E-009</v>
      </c>
      <c r="BE14" s="168" t="n">
        <v>1.40656231879074E-009</v>
      </c>
      <c r="BF14" s="168" t="n">
        <v>2.93182949272591E-009</v>
      </c>
      <c r="BG14" s="168" t="n">
        <v>5.38988292848429E-009</v>
      </c>
      <c r="BH14" s="168" t="n">
        <v>7.02605273439241E-009</v>
      </c>
      <c r="BI14" s="168" t="n">
        <v>2.08167562846094E-008</v>
      </c>
      <c r="BJ14" s="168" t="n">
        <v>1.94287581893185E-006</v>
      </c>
      <c r="BK14" s="168" t="n">
        <v>2.42938045854172E-006</v>
      </c>
      <c r="BL14" s="168" t="n">
        <v>7.27807402339299E-006</v>
      </c>
      <c r="BM14" s="3" t="n">
        <v>0</v>
      </c>
      <c r="BN14" s="3" t="n">
        <v>0</v>
      </c>
      <c r="BO14" s="3" t="n">
        <v>0</v>
      </c>
      <c r="BP14" s="3" t="n">
        <v>0</v>
      </c>
      <c r="BQ14" s="3" t="n">
        <v>0</v>
      </c>
      <c r="BR14" s="3" t="n">
        <v>0</v>
      </c>
      <c r="BS14" s="169"/>
      <c r="BT14" s="169"/>
      <c r="BU14" s="169"/>
      <c r="BV14" s="169"/>
      <c r="BW14" s="169"/>
      <c r="BX14" s="169"/>
      <c r="BY14" s="169"/>
    </row>
    <row r="15" customFormat="false" ht="12.75" hidden="true" customHeight="false" outlineLevel="0" collapsed="false">
      <c r="A15" s="3" t="n">
        <v>4</v>
      </c>
      <c r="B15" s="3" t="n">
        <v>4.1</v>
      </c>
      <c r="C15" s="3" t="s">
        <v>267</v>
      </c>
      <c r="D15" s="3" t="s">
        <v>220</v>
      </c>
      <c r="E15" s="3" t="n">
        <v>0.00101889825147091</v>
      </c>
      <c r="F15" s="3" t="n">
        <v>1.48204048162319E-005</v>
      </c>
      <c r="G15" s="3" t="n">
        <v>8.43385586502444E-005</v>
      </c>
      <c r="H15" s="3" t="n">
        <v>0.00102169408725522</v>
      </c>
      <c r="I15" s="3" t="n">
        <v>8.65642884348192E-005</v>
      </c>
      <c r="J15" s="3" t="n">
        <v>0.00108168537752952</v>
      </c>
      <c r="K15" s="3" t="n">
        <v>0.00770217963405922</v>
      </c>
      <c r="L15" s="168" t="n">
        <v>1.31705472871681E-029</v>
      </c>
      <c r="M15" s="3" t="n">
        <v>0.0162236554775347</v>
      </c>
      <c r="N15" s="3" t="n">
        <v>0</v>
      </c>
      <c r="O15" s="3" t="n">
        <v>0.00389392928695704</v>
      </c>
      <c r="P15" s="3" t="n">
        <v>0</v>
      </c>
      <c r="Q15" s="3" t="n">
        <v>0.0130490877536254</v>
      </c>
      <c r="R15" s="168" t="n">
        <v>1.40485837729794E-028</v>
      </c>
      <c r="S15" s="3" t="n">
        <v>0.00615808117608789</v>
      </c>
      <c r="T15" s="3" t="n">
        <v>0</v>
      </c>
      <c r="U15" s="3" t="n">
        <v>0.0240004564862291</v>
      </c>
      <c r="V15" s="3" t="n">
        <v>0</v>
      </c>
      <c r="W15" s="168" t="n">
        <v>1.00514072113042E-007</v>
      </c>
      <c r="X15" s="168" t="n">
        <v>2.62945426188313E-005</v>
      </c>
      <c r="Y15" s="168" t="n">
        <v>1.02556609454349E-007</v>
      </c>
      <c r="Z15" s="3" t="n">
        <v>0.000177349778977228</v>
      </c>
      <c r="AA15" s="168" t="n">
        <v>6.50756426057964E-008</v>
      </c>
      <c r="AB15" s="168" t="n">
        <v>5.54745451136662E-005</v>
      </c>
      <c r="AC15" s="3" t="n">
        <v>0.000746317139818852</v>
      </c>
      <c r="AD15" s="3" t="n">
        <v>0.000121576333999999</v>
      </c>
      <c r="AE15" s="3" t="n">
        <v>2.23182911304356E-005</v>
      </c>
      <c r="AF15" s="3" t="n">
        <v>0.00102934452101451</v>
      </c>
      <c r="AG15" s="168" t="n">
        <v>1.0048330144629E-034</v>
      </c>
      <c r="AH15" s="3" t="n">
        <v>0.00152184039927503</v>
      </c>
      <c r="AI15" s="3" t="n">
        <v>0</v>
      </c>
      <c r="AJ15" s="3" t="n">
        <v>0.000832078840579684</v>
      </c>
      <c r="AK15" s="168" t="n">
        <v>1.75607297162242E-028</v>
      </c>
      <c r="AL15" s="168" t="n">
        <v>9.35297398988409E-009</v>
      </c>
      <c r="AM15" s="168" t="n">
        <v>0.00104074851711292</v>
      </c>
      <c r="AN15" s="168" t="n">
        <v>2.67758348136215E-009</v>
      </c>
      <c r="AO15" s="168" t="n">
        <v>0.00034859523378529</v>
      </c>
      <c r="AP15" s="168" t="n">
        <v>3.53325519425353E-009</v>
      </c>
      <c r="AQ15" s="168" t="n">
        <v>0.000281931500551904</v>
      </c>
      <c r="AR15" s="3" t="n">
        <v>1.91754917210162E-006</v>
      </c>
      <c r="AS15" s="168" t="n">
        <v>8.80547644405777E-006</v>
      </c>
      <c r="AT15" s="3" t="n">
        <v>3.31674143123186E-006</v>
      </c>
      <c r="AU15" s="168" t="n">
        <v>5.08403268839786E-008</v>
      </c>
      <c r="AV15" s="168" t="n">
        <v>3.45319744927308E-007</v>
      </c>
      <c r="AW15" s="168" t="n">
        <v>5.89855804926912E-007</v>
      </c>
      <c r="AX15" s="168" t="n">
        <v>3.47545273706371E-008</v>
      </c>
      <c r="AY15" s="168" t="n">
        <v>1.58088426077464E-008</v>
      </c>
      <c r="AZ15" s="168" t="n">
        <v>1.69657349883731E-008</v>
      </c>
      <c r="BA15" s="3" t="n">
        <v>2.04489087510352E-005</v>
      </c>
      <c r="BB15" s="3" t="n">
        <v>9.27839595471343E-006</v>
      </c>
      <c r="BC15" s="168" t="n">
        <v>9.95672983737407E-006</v>
      </c>
      <c r="BD15" s="168" t="n">
        <v>3.03486717392612E-009</v>
      </c>
      <c r="BE15" s="168" t="n">
        <v>4.07042195647972E-009</v>
      </c>
      <c r="BF15" s="168" t="n">
        <v>3.47490949276133E-009</v>
      </c>
      <c r="BG15" s="168" t="n">
        <v>8.29928927693161E-009</v>
      </c>
      <c r="BH15" s="168" t="n">
        <v>8.17365814253176E-009</v>
      </c>
      <c r="BI15" s="168" t="n">
        <v>2.89161889419753E-008</v>
      </c>
      <c r="BJ15" s="168" t="n">
        <v>2.99155547577138E-006</v>
      </c>
      <c r="BK15" s="168" t="n">
        <v>2.826506416726E-006</v>
      </c>
      <c r="BL15" s="168" t="n">
        <v>1.01112981725647E-005</v>
      </c>
      <c r="BM15" s="3" t="n">
        <v>0</v>
      </c>
      <c r="BN15" s="3" t="n">
        <v>0</v>
      </c>
      <c r="BO15" s="3" t="n">
        <v>0</v>
      </c>
      <c r="BP15" s="3" t="n">
        <v>0</v>
      </c>
      <c r="BQ15" s="3" t="n">
        <v>0</v>
      </c>
      <c r="BR15" s="3" t="n">
        <v>0</v>
      </c>
      <c r="BS15" s="169"/>
      <c r="BT15" s="169"/>
      <c r="BU15" s="169"/>
      <c r="BV15" s="169"/>
      <c r="BW15" s="169"/>
      <c r="BX15" s="169"/>
      <c r="BY15" s="169"/>
    </row>
    <row r="16" customFormat="false" ht="12.75" hidden="true" customHeight="false" outlineLevel="0" collapsed="false">
      <c r="A16" s="3" t="n">
        <v>4</v>
      </c>
      <c r="B16" s="3" t="n">
        <v>4.1</v>
      </c>
      <c r="C16" s="3" t="s">
        <v>268</v>
      </c>
      <c r="D16" s="3" t="s">
        <v>220</v>
      </c>
      <c r="E16" s="3" t="n">
        <v>0.00159866427268845</v>
      </c>
      <c r="F16" s="3" t="n">
        <v>1.20819959057969E-005</v>
      </c>
      <c r="G16" s="3" t="n">
        <v>7.37352258838806E-005</v>
      </c>
      <c r="H16" s="3" t="n">
        <v>0.00161035809318263</v>
      </c>
      <c r="I16" s="3" t="n">
        <v>9.92544571906425E-005</v>
      </c>
      <c r="J16" s="3" t="n">
        <v>0.00200454641458706</v>
      </c>
      <c r="K16" s="3" t="n">
        <v>0.00645337348405818</v>
      </c>
      <c r="L16" s="168" t="n">
        <v>1.92070481271202E-029</v>
      </c>
      <c r="M16" s="3" t="n">
        <v>0.0222858356405805</v>
      </c>
      <c r="N16" s="3" t="n">
        <v>0</v>
      </c>
      <c r="O16" s="3" t="n">
        <v>0.00948754234710218</v>
      </c>
      <c r="P16" s="3" t="n">
        <v>0</v>
      </c>
      <c r="Q16" s="3" t="n">
        <v>0.0218681501499993</v>
      </c>
      <c r="R16" s="168" t="n">
        <v>1.75607297162242E-028</v>
      </c>
      <c r="S16" s="3" t="n">
        <v>0.00515939930144919</v>
      </c>
      <c r="T16" s="3" t="n">
        <v>0</v>
      </c>
      <c r="U16" s="3" t="n">
        <v>0.0191769089710152</v>
      </c>
      <c r="V16" s="3" t="n">
        <v>0</v>
      </c>
      <c r="W16" s="168" t="n">
        <v>1.73774051397096E-007</v>
      </c>
      <c r="X16" s="168" t="n">
        <v>3.84784686202059E-005</v>
      </c>
      <c r="Y16" s="168" t="n">
        <v>2.83073883651444E-007</v>
      </c>
      <c r="Z16" s="168" t="n">
        <v>0.0002028421100332</v>
      </c>
      <c r="AA16" s="168" t="n">
        <v>1.20451666434055E-007</v>
      </c>
      <c r="AB16" s="168" t="n">
        <v>0.000393281891959014</v>
      </c>
      <c r="AC16" s="3" t="n">
        <v>0.00154055694617391</v>
      </c>
      <c r="AD16" s="3" t="n">
        <v>0.00025397783313043</v>
      </c>
      <c r="AE16" s="3" t="n">
        <v>0.000208814205210147</v>
      </c>
      <c r="AF16" s="168" t="n">
        <v>0.00140919111884059</v>
      </c>
      <c r="AG16" s="168" t="n">
        <v>5.86152591770028E-035</v>
      </c>
      <c r="AH16" s="3" t="n">
        <v>0.00121737484057984</v>
      </c>
      <c r="AI16" s="3" t="n">
        <v>0</v>
      </c>
      <c r="AJ16" s="3" t="n">
        <v>0.00139110442608711</v>
      </c>
      <c r="AK16" s="168" t="n">
        <v>6.14625540067849E-029</v>
      </c>
      <c r="AL16" s="168" t="n">
        <v>1.59836899108403E-008</v>
      </c>
      <c r="AM16" s="168" t="n">
        <v>0.00191220718393512</v>
      </c>
      <c r="AN16" s="168" t="n">
        <v>3.13673820207976E-009</v>
      </c>
      <c r="AO16" s="168" t="n">
        <v>0.000302778978404265</v>
      </c>
      <c r="AP16" s="168" t="n">
        <v>1.49022438605789E-009</v>
      </c>
      <c r="AQ16" s="168" t="n">
        <v>0.00036024648985163</v>
      </c>
      <c r="AR16" s="3" t="n">
        <v>1.38964736456531E-006</v>
      </c>
      <c r="AS16" s="3" t="n">
        <v>9.22813095644941E-006</v>
      </c>
      <c r="AT16" s="3" t="n">
        <v>4.30881437884065E-006</v>
      </c>
      <c r="AU16" s="3" t="n">
        <v>5.1706645144552E-008</v>
      </c>
      <c r="AV16" s="3" t="n">
        <v>3.39087910652272E-007</v>
      </c>
      <c r="AW16" s="3" t="n">
        <v>5.61483662319034E-007</v>
      </c>
      <c r="AX16" s="3" t="n">
        <v>2.93083017392318E-008</v>
      </c>
      <c r="AY16" s="168" t="n">
        <v>4.76388968133288E-008</v>
      </c>
      <c r="AZ16" s="3" t="n">
        <v>3.55762407194025E-008</v>
      </c>
      <c r="BA16" s="3" t="n">
        <v>1.72454545526673E-005</v>
      </c>
      <c r="BB16" s="3" t="n">
        <v>2.79321305297132E-005</v>
      </c>
      <c r="BC16" s="3" t="n">
        <v>2.08524897586213E-005</v>
      </c>
      <c r="BD16" s="3" t="n">
        <v>2.02064579705716E-009</v>
      </c>
      <c r="BE16" s="3" t="n">
        <v>3.55144688410451E-009</v>
      </c>
      <c r="BF16" s="3" t="n">
        <v>2.09548144930374E-009</v>
      </c>
      <c r="BG16" s="3" t="n">
        <v>8.5365150431137E-009</v>
      </c>
      <c r="BH16" s="3" t="n">
        <v>8.99454733847395E-009</v>
      </c>
      <c r="BI16" s="168" t="n">
        <v>1.17193311225735E-008</v>
      </c>
      <c r="BJ16" s="3" t="n">
        <v>3.07707677421607E-006</v>
      </c>
      <c r="BK16" s="3" t="n">
        <v>3.10999387390591E-006</v>
      </c>
      <c r="BL16" s="3" t="n">
        <v>4.09776057894532E-006</v>
      </c>
      <c r="BM16" s="3" t="n">
        <v>0</v>
      </c>
      <c r="BN16" s="3" t="n">
        <v>0</v>
      </c>
      <c r="BO16" s="3" t="n">
        <v>0</v>
      </c>
      <c r="BP16" s="3" t="n">
        <v>0</v>
      </c>
      <c r="BQ16" s="3" t="n">
        <v>0</v>
      </c>
      <c r="BR16" s="3" t="n">
        <v>0</v>
      </c>
      <c r="BS16" s="169"/>
      <c r="BT16" s="169"/>
      <c r="BU16" s="169"/>
      <c r="BV16" s="169"/>
      <c r="BW16" s="169"/>
      <c r="BX16" s="169"/>
      <c r="BY16" s="169"/>
    </row>
    <row r="17" customFormat="false" ht="12.75" hidden="true" customHeight="false" outlineLevel="0" collapsed="false">
      <c r="A17" s="3" t="n">
        <v>4</v>
      </c>
      <c r="B17" s="3" t="n">
        <v>4.2</v>
      </c>
      <c r="C17" s="3" t="s">
        <v>269</v>
      </c>
      <c r="D17" s="3" t="s">
        <v>220</v>
      </c>
      <c r="E17" s="3" t="n">
        <v>0.522042725205839</v>
      </c>
      <c r="F17" s="3" t="n">
        <v>0.460742501842784</v>
      </c>
      <c r="G17" s="3" t="n">
        <v>0.413028945675912</v>
      </c>
      <c r="H17" s="3" t="n">
        <v>0.00358580092101968</v>
      </c>
      <c r="I17" s="3" t="n">
        <v>0.0979276015315321</v>
      </c>
      <c r="J17" s="3" t="n">
        <v>0.119280543155754</v>
      </c>
      <c r="K17" s="3" t="n">
        <v>0.011654345205795</v>
      </c>
      <c r="L17" s="168" t="n">
        <v>1.75607297162242E-029</v>
      </c>
      <c r="M17" s="3" t="n">
        <v>0.0481032964688451</v>
      </c>
      <c r="N17" s="3" t="n">
        <v>0</v>
      </c>
      <c r="O17" s="3" t="n">
        <v>0.0217524675130438</v>
      </c>
      <c r="P17" s="168" t="n">
        <v>0</v>
      </c>
      <c r="Q17" s="3" t="n">
        <v>0.0587376812340522</v>
      </c>
      <c r="R17" s="168" t="n">
        <v>2.10728756594691E-028</v>
      </c>
      <c r="S17" s="3" t="n">
        <v>0.0139513915797116</v>
      </c>
      <c r="T17" s="3" t="n">
        <v>0</v>
      </c>
      <c r="U17" s="3" t="n">
        <v>0.035272758501449</v>
      </c>
      <c r="V17" s="3" t="n">
        <v>0</v>
      </c>
      <c r="W17" s="168" t="n">
        <v>9.81681429275459E-007</v>
      </c>
      <c r="X17" s="3" t="n">
        <v>0.000863860952143752</v>
      </c>
      <c r="Y17" s="168" t="n">
        <v>3.56208266057969E-006</v>
      </c>
      <c r="Z17" s="3" t="n">
        <v>0.000303862477814154</v>
      </c>
      <c r="AA17" s="168" t="n">
        <v>1.57323541210143E-006</v>
      </c>
      <c r="AB17" s="3" t="n">
        <v>0.000304326707336978</v>
      </c>
      <c r="AC17" s="3" t="n">
        <v>0.0237555087971007</v>
      </c>
      <c r="AD17" s="3" t="n">
        <v>0.129771080636966</v>
      </c>
      <c r="AE17" s="3" t="n">
        <v>0.0744558808340618</v>
      </c>
      <c r="AF17" s="3" t="n">
        <v>0.00360304336231937</v>
      </c>
      <c r="AG17" s="168" t="n">
        <v>2.10728756594691E-028</v>
      </c>
      <c r="AH17" s="3" t="n">
        <v>0.0022491378021737</v>
      </c>
      <c r="AI17" s="3" t="n">
        <v>9.2109692992433E-035</v>
      </c>
      <c r="AJ17" s="3" t="n">
        <v>0.00436631662536193</v>
      </c>
      <c r="AK17" s="3" t="n">
        <v>0</v>
      </c>
      <c r="AL17" s="168" t="n">
        <v>1.63661535958686E-005</v>
      </c>
      <c r="AM17" s="3" t="n">
        <v>0.000196105174519157</v>
      </c>
      <c r="AN17" s="168" t="n">
        <v>1.63846286840587E-006</v>
      </c>
      <c r="AO17" s="3" t="n">
        <v>0.000566281070780731</v>
      </c>
      <c r="AP17" s="168" t="n">
        <v>3.00139996762323E-005</v>
      </c>
      <c r="AQ17" s="3" t="n">
        <v>0.000639906388100582</v>
      </c>
      <c r="AR17" s="3" t="n">
        <v>0.0826690938057935</v>
      </c>
      <c r="AS17" s="3" t="n">
        <v>0.000170311199275387</v>
      </c>
      <c r="AT17" s="3" t="n">
        <v>0.202678522840587</v>
      </c>
      <c r="AU17" s="168" t="n">
        <v>8.42344340597927E-009</v>
      </c>
      <c r="AV17" s="168" t="n">
        <v>3.65974021733707E-009</v>
      </c>
      <c r="AW17" s="168" t="n">
        <v>4.35745210148887E-009</v>
      </c>
      <c r="AX17" s="168" t="n">
        <v>5.55486726210312E-007</v>
      </c>
      <c r="AY17" s="168" t="n">
        <v>1.52704339731235E-007</v>
      </c>
      <c r="AZ17" s="168" t="n">
        <v>1.09489509181E-006</v>
      </c>
      <c r="BA17" s="3" t="n">
        <v>0.000321199376421932</v>
      </c>
      <c r="BB17" s="3" t="n">
        <v>8.81014964581648E-005</v>
      </c>
      <c r="BC17" s="3" t="n">
        <v>0.000628501867752122</v>
      </c>
      <c r="BD17" s="168" t="n">
        <v>4.86760073847714E-006</v>
      </c>
      <c r="BE17" s="168" t="n">
        <v>6.95808440576932E-008</v>
      </c>
      <c r="BF17" s="168" t="n">
        <v>2.14875147797113E-006</v>
      </c>
      <c r="BG17" s="168" t="n">
        <v>1.59323412663904E-005</v>
      </c>
      <c r="BH17" s="168" t="n">
        <v>5.93720101703954E-007</v>
      </c>
      <c r="BI17" s="168" t="n">
        <v>0.000160201933848002</v>
      </c>
      <c r="BJ17" s="3" t="n">
        <v>0.00467849026356819</v>
      </c>
      <c r="BK17" s="3" t="n">
        <v>0.000222904484817767</v>
      </c>
      <c r="BL17" s="3" t="n">
        <v>0.0515104552195451</v>
      </c>
      <c r="BM17" s="3" t="n">
        <v>0.0299543201992755</v>
      </c>
      <c r="BN17" s="3" t="n">
        <v>0</v>
      </c>
      <c r="BO17" s="3" t="n">
        <v>0.0861855506114137</v>
      </c>
      <c r="BP17" s="3" t="n">
        <v>0.029952440217386</v>
      </c>
      <c r="BQ17" s="3" t="n">
        <v>0</v>
      </c>
      <c r="BR17" s="3" t="n">
        <v>0.0579949506340653</v>
      </c>
      <c r="BS17" s="169"/>
      <c r="BT17" s="169"/>
      <c r="BU17" s="169"/>
      <c r="BV17" s="169"/>
      <c r="BW17" s="169"/>
      <c r="BX17" s="169"/>
      <c r="BY17" s="169"/>
    </row>
    <row r="18" customFormat="false" ht="12.75" hidden="true" customHeight="false" outlineLevel="0" collapsed="false">
      <c r="A18" s="3" t="n">
        <v>4</v>
      </c>
      <c r="B18" s="3" t="n">
        <v>4.2</v>
      </c>
      <c r="C18" s="3" t="s">
        <v>270</v>
      </c>
      <c r="D18" s="3" t="s">
        <v>220</v>
      </c>
      <c r="E18" s="3" t="n">
        <v>0.174135387292736</v>
      </c>
      <c r="F18" s="3" t="n">
        <v>0.164603603981904</v>
      </c>
      <c r="G18" s="3" t="n">
        <v>0.144756158242794</v>
      </c>
      <c r="H18" s="3" t="n">
        <v>0.00128894968623164</v>
      </c>
      <c r="I18" s="3" t="n">
        <v>0.0584276786935851</v>
      </c>
      <c r="J18" s="3" t="n">
        <v>0.0645584714181592</v>
      </c>
      <c r="K18" s="3" t="n">
        <v>0.0088715984282617</v>
      </c>
      <c r="L18" s="168" t="n">
        <v>1.92070481271202E-029</v>
      </c>
      <c r="M18" s="3" t="n">
        <v>0.0296349642666652</v>
      </c>
      <c r="N18" s="3" t="n">
        <v>0</v>
      </c>
      <c r="O18" s="3" t="n">
        <v>0.00989003186956567</v>
      </c>
      <c r="P18" s="3" t="n">
        <v>0</v>
      </c>
      <c r="Q18" s="3" t="n">
        <v>0.0260285615065264</v>
      </c>
      <c r="R18" s="168" t="n">
        <v>2.10728756594691E-028</v>
      </c>
      <c r="S18" s="3" t="n">
        <v>0.00702208851884066</v>
      </c>
      <c r="T18" s="3" t="n">
        <v>0</v>
      </c>
      <c r="U18" s="3" t="n">
        <v>0.0216856427297098</v>
      </c>
      <c r="V18" s="3" t="n">
        <v>0</v>
      </c>
      <c r="W18" s="168" t="n">
        <v>2.49947066014451E-007</v>
      </c>
      <c r="X18" s="3" t="n">
        <v>0.000628301229597726</v>
      </c>
      <c r="Y18" s="168" t="n">
        <v>1.12051772869564E-006</v>
      </c>
      <c r="Z18" s="3" t="n">
        <v>0.000172670655674491</v>
      </c>
      <c r="AA18" s="168" t="n">
        <v>1.27368484057964E-006</v>
      </c>
      <c r="AB18" s="3" t="n">
        <v>0.00018578441869068</v>
      </c>
      <c r="AC18" s="3" t="n">
        <v>0.0136561861557983</v>
      </c>
      <c r="AD18" s="3" t="n">
        <v>0.0398147974579671</v>
      </c>
      <c r="AE18" s="3" t="n">
        <v>0.0466346833210088</v>
      </c>
      <c r="AF18" s="3" t="n">
        <v>0.00199169866014524</v>
      </c>
      <c r="AG18" s="168" t="n">
        <v>2.10728756594691E-028</v>
      </c>
      <c r="AH18" s="3" t="n">
        <v>0.00137348451014497</v>
      </c>
      <c r="AI18" s="3" t="n">
        <v>1.3397773526172E-034</v>
      </c>
      <c r="AJ18" s="3" t="n">
        <v>0.00173456789492761</v>
      </c>
      <c r="AK18" s="168" t="n">
        <v>0</v>
      </c>
      <c r="AL18" s="168" t="n">
        <v>3.35773338601444E-006</v>
      </c>
      <c r="AM18" s="3" t="n">
        <v>0.000415034190407044</v>
      </c>
      <c r="AN18" s="168" t="n">
        <v>1.21409827913047E-006</v>
      </c>
      <c r="AO18" s="3" t="n">
        <v>0.000664950565050838</v>
      </c>
      <c r="AP18" s="168" t="n">
        <v>1.82107038918848E-005</v>
      </c>
      <c r="AQ18" s="3" t="n">
        <v>0.000113011358003721</v>
      </c>
      <c r="AR18" s="3" t="n">
        <v>0.0419744877036222</v>
      </c>
      <c r="AS18" s="3" t="n">
        <v>0.000201010584782551</v>
      </c>
      <c r="AT18" s="3" t="n">
        <v>0.138124809784768</v>
      </c>
      <c r="AU18" s="168" t="n">
        <v>2.01047304344074E-009</v>
      </c>
      <c r="AV18" s="168" t="n">
        <v>4.55996630430215E-009</v>
      </c>
      <c r="AW18" s="168" t="n">
        <v>7.08534144933996E-009</v>
      </c>
      <c r="AX18" s="168" t="n">
        <v>1.72616376363338E-007</v>
      </c>
      <c r="AY18" s="168" t="n">
        <v>1.86182150362527E-007</v>
      </c>
      <c r="AZ18" s="168" t="n">
        <v>1.77214690881664E-007</v>
      </c>
      <c r="BA18" s="3" t="n">
        <v>0.000100494862316494</v>
      </c>
      <c r="BB18" s="3" t="n">
        <v>0.000107647212108933</v>
      </c>
      <c r="BC18" s="3" t="n">
        <v>0.000102781006831029</v>
      </c>
      <c r="BD18" s="168" t="n">
        <v>7.56465411521553E-007</v>
      </c>
      <c r="BE18" s="168" t="n">
        <v>1.06077492755063E-008</v>
      </c>
      <c r="BF18" s="168" t="n">
        <v>2.21766052170728E-008</v>
      </c>
      <c r="BG18" s="168" t="n">
        <v>1.17781661983332E-005</v>
      </c>
      <c r="BH18" s="168" t="n">
        <v>8.37570435984432E-007</v>
      </c>
      <c r="BI18" s="168" t="n">
        <v>2.9786217343281E-006</v>
      </c>
      <c r="BJ18" s="3" t="n">
        <v>0.00360936430407203</v>
      </c>
      <c r="BK18" s="3" t="n">
        <v>0.000267097948619283</v>
      </c>
      <c r="BL18" s="3" t="n">
        <v>0.000978875483766027</v>
      </c>
      <c r="BM18" s="3" t="n">
        <v>0.00550793614130455</v>
      </c>
      <c r="BN18" s="3" t="n">
        <v>0</v>
      </c>
      <c r="BO18" s="3" t="n">
        <v>0.0283162210144911</v>
      </c>
      <c r="BP18" s="3" t="n">
        <v>0.0201433794157596</v>
      </c>
      <c r="BQ18" s="3" t="n">
        <v>0</v>
      </c>
      <c r="BR18" s="3" t="n">
        <v>0.0815162788722821</v>
      </c>
      <c r="BS18" s="169"/>
      <c r="BT18" s="169"/>
      <c r="BU18" s="169"/>
      <c r="BV18" s="169"/>
      <c r="BW18" s="169"/>
      <c r="BX18" s="169"/>
      <c r="BY18" s="169"/>
    </row>
    <row r="19" customFormat="false" ht="12.75" hidden="true" customHeight="false" outlineLevel="0" collapsed="false">
      <c r="A19" s="3" t="n">
        <v>4</v>
      </c>
      <c r="B19" s="3" t="n">
        <v>4.2</v>
      </c>
      <c r="C19" s="3" t="s">
        <v>271</v>
      </c>
      <c r="D19" s="3" t="s">
        <v>220</v>
      </c>
      <c r="E19" s="3" t="n">
        <v>0.140107313529703</v>
      </c>
      <c r="F19" s="3" t="n">
        <v>0.14312778935577</v>
      </c>
      <c r="G19" s="3" t="n">
        <v>0.113988137806279</v>
      </c>
      <c r="H19" s="3" t="n">
        <v>0.00630804833623794</v>
      </c>
      <c r="I19" s="3" t="n">
        <v>0.0720896051835734</v>
      </c>
      <c r="J19" s="3" t="n">
        <v>0.0677878666915809</v>
      </c>
      <c r="K19" s="3" t="n">
        <v>0.121192978249273</v>
      </c>
      <c r="L19" s="168" t="n">
        <v>2.19509121452803E-029</v>
      </c>
      <c r="M19" s="3" t="n">
        <v>0.338323264657958</v>
      </c>
      <c r="N19" s="3" t="n">
        <v>0</v>
      </c>
      <c r="O19" s="3" t="n">
        <v>0.118836189877523</v>
      </c>
      <c r="P19" s="3" t="n">
        <v>0</v>
      </c>
      <c r="Q19" s="3" t="n">
        <v>0.401240820260142</v>
      </c>
      <c r="R19" s="168" t="n">
        <v>1.05364378297345E-028</v>
      </c>
      <c r="S19" s="3" t="n">
        <v>0.142702265982598</v>
      </c>
      <c r="T19" s="3" t="n">
        <v>0</v>
      </c>
      <c r="U19" s="3" t="n">
        <v>0.408690668623177</v>
      </c>
      <c r="V19" s="3" t="n">
        <v>0</v>
      </c>
      <c r="W19" s="168" t="n">
        <v>3.53823093884039E-006</v>
      </c>
      <c r="X19" s="3" t="n">
        <v>0.0012315075389273</v>
      </c>
      <c r="Y19" s="168" t="n">
        <v>1.16657975697831E-005</v>
      </c>
      <c r="Z19" s="3" t="n">
        <v>0.00123142280080645</v>
      </c>
      <c r="AA19" s="168" t="n">
        <v>5.80744084862331E-006</v>
      </c>
      <c r="AB19" s="3" t="n">
        <v>0.000668524319536918</v>
      </c>
      <c r="AC19" s="3" t="n">
        <v>0.0166370847297107</v>
      </c>
      <c r="AD19" s="3" t="n">
        <v>0.0389489061101461</v>
      </c>
      <c r="AE19" s="3" t="n">
        <v>0.0321479258057992</v>
      </c>
      <c r="AF19" s="3" t="n">
        <v>0.0219882259565214</v>
      </c>
      <c r="AG19" s="168" t="n">
        <v>2.63410945743363E-029</v>
      </c>
      <c r="AH19" s="3" t="n">
        <v>0.0258121935818839</v>
      </c>
      <c r="AI19" s="3" t="n">
        <v>8.37360845385754E-035</v>
      </c>
      <c r="AJ19" s="3" t="n">
        <v>0.0258637792666664</v>
      </c>
      <c r="AK19" s="168" t="n">
        <v>0</v>
      </c>
      <c r="AL19" s="168" t="n">
        <v>5.11427174397106E-005</v>
      </c>
      <c r="AM19" s="3" t="n">
        <v>0.000357794865780839</v>
      </c>
      <c r="AN19" s="168" t="n">
        <v>2.76439411362309E-006</v>
      </c>
      <c r="AO19" s="3" t="n">
        <v>0.00126539267576313</v>
      </c>
      <c r="AP19" s="168" t="n">
        <v>9.57359316336231E-005</v>
      </c>
      <c r="AQ19" s="3" t="n">
        <v>0.000797175414622475</v>
      </c>
      <c r="AR19" s="3" t="n">
        <v>0.020220998607971</v>
      </c>
      <c r="AS19" s="3" t="n">
        <v>4.90721362318845E-005</v>
      </c>
      <c r="AT19" s="3" t="n">
        <v>0.108658113492745</v>
      </c>
      <c r="AU19" s="168" t="n">
        <v>4.50996862336727E-009</v>
      </c>
      <c r="AV19" s="168" t="n">
        <v>7.15307217400105E-009</v>
      </c>
      <c r="AW19" s="168" t="n">
        <v>1.37626764491598E-008</v>
      </c>
      <c r="AX19" s="168" t="n">
        <v>2.31742124382103E-007</v>
      </c>
      <c r="AY19" s="168" t="n">
        <v>1.26320978510249E-007</v>
      </c>
      <c r="AZ19" s="168" t="n">
        <v>3.19173423311217E-007</v>
      </c>
      <c r="BA19" s="3" t="n">
        <v>0.000134289548488072</v>
      </c>
      <c r="BB19" s="3" t="n">
        <v>7.26410329812245E-005</v>
      </c>
      <c r="BC19" s="3" t="n">
        <v>0.000184021726338691</v>
      </c>
      <c r="BD19" s="168" t="n">
        <v>3.06143721666421E-007</v>
      </c>
      <c r="BE19" s="168" t="n">
        <v>6.32766347809114E-009</v>
      </c>
      <c r="BF19" s="168" t="n">
        <v>3.76163703625093E-008</v>
      </c>
      <c r="BG19" s="168" t="n">
        <v>8.51602910762204E-007</v>
      </c>
      <c r="BH19" s="168" t="n">
        <v>2.26465169763164E-007</v>
      </c>
      <c r="BI19" s="168" t="n">
        <v>3.13570295616712E-006</v>
      </c>
      <c r="BJ19" s="3" t="n">
        <v>0.000243230889741363</v>
      </c>
      <c r="BK19" s="3" t="n">
        <v>7.4376468584435E-005</v>
      </c>
      <c r="BL19" s="3" t="n">
        <v>0.00101398370275203</v>
      </c>
      <c r="BM19" s="3" t="n">
        <v>0.00923729336503583</v>
      </c>
      <c r="BN19" s="3" t="n">
        <v>0</v>
      </c>
      <c r="BO19" s="3" t="n">
        <v>0.0375375651041663</v>
      </c>
      <c r="BP19" s="3" t="n">
        <v>0.0105269853940223</v>
      </c>
      <c r="BQ19" s="3" t="n">
        <v>0</v>
      </c>
      <c r="BR19" s="3" t="n">
        <v>0.0533024886775343</v>
      </c>
      <c r="BS19" s="169"/>
      <c r="BT19" s="169"/>
      <c r="BU19" s="169"/>
      <c r="BV19" s="169"/>
      <c r="BW19" s="169"/>
      <c r="BX19" s="169"/>
      <c r="BY19" s="169"/>
    </row>
    <row r="20" customFormat="false" ht="12.75" hidden="true" customHeight="false" outlineLevel="0" collapsed="false">
      <c r="A20" s="3" t="n">
        <v>4</v>
      </c>
      <c r="B20" s="3" t="n">
        <v>4.3</v>
      </c>
      <c r="C20" s="3" t="s">
        <v>272</v>
      </c>
      <c r="D20" s="3" t="s">
        <v>220</v>
      </c>
      <c r="E20" s="3" t="n">
        <v>0.969991148034012</v>
      </c>
      <c r="F20" s="3" t="n">
        <v>0.739284768584856</v>
      </c>
      <c r="G20" s="3" t="n">
        <v>0.609278575218689</v>
      </c>
      <c r="H20" s="3" t="n">
        <v>0.0285264796753462</v>
      </c>
      <c r="I20" s="3" t="n">
        <v>0.0991109106090941</v>
      </c>
      <c r="J20" s="3" t="n">
        <v>0.144107314610612</v>
      </c>
      <c r="K20" s="3" t="n">
        <v>0.0188038702695676</v>
      </c>
      <c r="L20" s="3" t="n">
        <v>1.48168656980642E-029</v>
      </c>
      <c r="M20" s="3" t="n">
        <v>0.0697945561731841</v>
      </c>
      <c r="N20" s="3" t="n">
        <v>0</v>
      </c>
      <c r="O20" s="3" t="n">
        <v>0.0293311312318849</v>
      </c>
      <c r="P20" s="3" t="n">
        <v>0</v>
      </c>
      <c r="Q20" s="3" t="n">
        <v>0.0857510838927498</v>
      </c>
      <c r="R20" s="3" t="n">
        <v>1.75607297162242E-028</v>
      </c>
      <c r="S20" s="3" t="n">
        <v>0.0229527672514482</v>
      </c>
      <c r="T20" s="3" t="n">
        <v>0</v>
      </c>
      <c r="U20" s="3" t="n">
        <v>0.0577528708057959</v>
      </c>
      <c r="V20" s="3" t="n">
        <v>0</v>
      </c>
      <c r="W20" s="3" t="n">
        <v>5.74975041666692E-007</v>
      </c>
      <c r="X20" s="3" t="n">
        <v>0.000646494045390349</v>
      </c>
      <c r="Y20" s="3" t="n">
        <v>1.37523491586951E-006</v>
      </c>
      <c r="Z20" s="3" t="n">
        <v>0.000432307278108652</v>
      </c>
      <c r="AA20" s="3" t="n">
        <v>1.61146606079718E-006</v>
      </c>
      <c r="AB20" s="3" t="n">
        <v>0.000575393744019608</v>
      </c>
      <c r="AC20" s="3" t="n">
        <v>0.0329696946601463</v>
      </c>
      <c r="AD20" s="3" t="n">
        <v>0.187836521019574</v>
      </c>
      <c r="AE20" s="3" t="n">
        <v>0.209160904863037</v>
      </c>
      <c r="AF20" s="3" t="n">
        <v>0.00445702482318834</v>
      </c>
      <c r="AG20" s="3" t="n">
        <v>2.10728756594691E-028</v>
      </c>
      <c r="AH20" s="3" t="n">
        <v>0.00404158511231858</v>
      </c>
      <c r="AI20" s="3" t="n">
        <v>2.94751017575785E-033</v>
      </c>
      <c r="AJ20" s="3" t="n">
        <v>0.00511942608623207</v>
      </c>
      <c r="AK20" s="3" t="n">
        <v>0</v>
      </c>
      <c r="AL20" s="3" t="n">
        <v>1.73962768862324E-006</v>
      </c>
      <c r="AM20" s="3" t="n">
        <v>0.00111645110501324</v>
      </c>
      <c r="AN20" s="3" t="n">
        <v>8.7138578791303E-006</v>
      </c>
      <c r="AO20" s="3" t="n">
        <v>0.000593566152437877</v>
      </c>
      <c r="AP20" s="3" t="n">
        <v>2.83622316997097E-005</v>
      </c>
      <c r="AQ20" s="3" t="n">
        <v>0.00150613725128617</v>
      </c>
      <c r="AR20" s="3" t="n">
        <v>0.0129269868456543</v>
      </c>
      <c r="AS20" s="3" t="n">
        <v>0.0794451325449267</v>
      </c>
      <c r="AT20" s="3" t="n">
        <v>0.505560418640581</v>
      </c>
      <c r="AU20" s="3" t="n">
        <v>4.80031934787195E-009</v>
      </c>
      <c r="AV20" s="3" t="n">
        <v>2.30126427538246E-009</v>
      </c>
      <c r="AW20" s="3" t="n">
        <v>1.49186153625816E-008</v>
      </c>
      <c r="AX20" s="3" t="n">
        <v>2.82206098094588E-007</v>
      </c>
      <c r="AY20" s="3" t="n">
        <v>1.96519653529349E-007</v>
      </c>
      <c r="AZ20" s="3" t="n">
        <v>2.03845117656317E-007</v>
      </c>
      <c r="BA20" s="3" t="n">
        <v>0.000163759029166442</v>
      </c>
      <c r="BB20" s="3" t="n">
        <v>0.000113009436804046</v>
      </c>
      <c r="BC20" s="3" t="n">
        <v>0.000116354131925023</v>
      </c>
      <c r="BD20" s="3" t="n">
        <v>2.50554987014166E-006</v>
      </c>
      <c r="BE20" s="3" t="n">
        <v>1.44416831886804E-008</v>
      </c>
      <c r="BF20" s="3" t="n">
        <v>4.69506736434807E-006</v>
      </c>
      <c r="BG20" s="3" t="n">
        <v>9.5395882987972E-006</v>
      </c>
      <c r="BH20" s="3" t="n">
        <v>3.58061266650317E-007</v>
      </c>
      <c r="BI20" s="3" t="n">
        <v>0.000392153968626989</v>
      </c>
      <c r="BJ20" s="3" t="n">
        <v>0.00316076566809128</v>
      </c>
      <c r="BK20" s="3" t="n">
        <v>0.00012021699192896</v>
      </c>
      <c r="BL20" s="3" t="n">
        <v>0.1263589249915</v>
      </c>
      <c r="BM20" s="3" t="n">
        <v>0.00640529891304364</v>
      </c>
      <c r="BN20" s="3" t="n">
        <v>0</v>
      </c>
      <c r="BO20" s="3" t="n">
        <v>0.0276572318840568</v>
      </c>
      <c r="BP20" s="3" t="n">
        <v>0</v>
      </c>
      <c r="BQ20" s="3" t="n">
        <v>0.0687722658514478</v>
      </c>
      <c r="BR20" s="3" t="n">
        <v>0.195154615828812</v>
      </c>
      <c r="BS20" s="169"/>
      <c r="BT20" s="169"/>
      <c r="BU20" s="169"/>
      <c r="BV20" s="169"/>
      <c r="BW20" s="169"/>
      <c r="BX20" s="169"/>
      <c r="BY20" s="169"/>
    </row>
    <row r="21" customFormat="false" ht="12.75" hidden="true" customHeight="false" outlineLevel="0" collapsed="false">
      <c r="A21" s="3" t="n">
        <v>4</v>
      </c>
      <c r="B21" s="3" t="n">
        <v>4.3</v>
      </c>
      <c r="C21" s="3" t="s">
        <v>273</v>
      </c>
      <c r="D21" s="3" t="s">
        <v>220</v>
      </c>
      <c r="E21" s="3" t="n">
        <v>0.877284804416665</v>
      </c>
      <c r="F21" s="3" t="n">
        <v>0.740006001506504</v>
      </c>
      <c r="G21" s="3" t="n">
        <v>0.603061595336148</v>
      </c>
      <c r="H21" s="3" t="n">
        <v>0.0142415282666659</v>
      </c>
      <c r="I21" s="3" t="n">
        <v>0.106383871611579</v>
      </c>
      <c r="J21" s="3" t="n">
        <v>0.130767049308472</v>
      </c>
      <c r="K21" s="3" t="n">
        <v>0.00934753191231757</v>
      </c>
      <c r="L21" s="3" t="n">
        <v>1.31705472871681E-029</v>
      </c>
      <c r="M21" s="3" t="n">
        <v>0.0326634604340607</v>
      </c>
      <c r="N21" s="3" t="n">
        <v>0</v>
      </c>
      <c r="O21" s="3" t="n">
        <v>0.0125343699644914</v>
      </c>
      <c r="P21" s="3" t="n">
        <v>0</v>
      </c>
      <c r="Q21" s="3" t="n">
        <v>0.0319197089275382</v>
      </c>
      <c r="R21" s="3" t="n">
        <v>2.10728756594691E-028</v>
      </c>
      <c r="S21" s="3" t="n">
        <v>0.00950835556449252</v>
      </c>
      <c r="T21" s="3" t="n">
        <v>0</v>
      </c>
      <c r="U21" s="3" t="n">
        <v>0.0296115267644968</v>
      </c>
      <c r="V21" s="3" t="n">
        <v>0</v>
      </c>
      <c r="W21" s="3" t="n">
        <v>8.31784681087029E-007</v>
      </c>
      <c r="X21" s="3" t="n">
        <v>0.00108309276874444</v>
      </c>
      <c r="Y21" s="3" t="n">
        <v>1.70047272340582E-006</v>
      </c>
      <c r="Z21" s="3" t="n">
        <v>0.000737033773835732</v>
      </c>
      <c r="AA21" s="3" t="n">
        <v>1.34636961130433E-006</v>
      </c>
      <c r="AB21" s="3" t="n">
        <v>0.000283921185007017</v>
      </c>
      <c r="AC21" s="3" t="n">
        <v>0.120765139460142</v>
      </c>
      <c r="AD21" s="3" t="n">
        <v>0.0715425659297091</v>
      </c>
      <c r="AE21" s="3" t="n">
        <v>0.170338755790572</v>
      </c>
      <c r="AF21" s="3" t="n">
        <v>0.00208540975000004</v>
      </c>
      <c r="AG21" s="3" t="n">
        <v>7.0242918864897E-029</v>
      </c>
      <c r="AH21" s="3" t="n">
        <v>0.00173381850362325</v>
      </c>
      <c r="AI21" s="3" t="n">
        <v>1.47375508787892E-033</v>
      </c>
      <c r="AJ21" s="3" t="n">
        <v>0.00200448111014505</v>
      </c>
      <c r="AK21" s="3" t="n">
        <v>0</v>
      </c>
      <c r="AL21" s="3" t="n">
        <v>4.71033028753587E-006</v>
      </c>
      <c r="AM21" s="3" t="n">
        <v>0.000703814126466178</v>
      </c>
      <c r="AN21" s="3" t="n">
        <v>9.22677350927474E-006</v>
      </c>
      <c r="AO21" s="3" t="n">
        <v>0.000868373172851776</v>
      </c>
      <c r="AP21" s="3" t="n">
        <v>1.60871500669578E-005</v>
      </c>
      <c r="AQ21" s="3" t="n">
        <v>0.000290921021406461</v>
      </c>
      <c r="AR21" s="3" t="n">
        <v>0.034785552544926</v>
      </c>
      <c r="AS21" s="3" t="n">
        <v>0.274094150642737</v>
      </c>
      <c r="AT21" s="3" t="n">
        <v>0.124536388591302</v>
      </c>
      <c r="AU21" s="3" t="n">
        <v>1.91100692755048E-008</v>
      </c>
      <c r="AV21" s="3" t="n">
        <v>4.27960231877766E-009</v>
      </c>
      <c r="AW21" s="3" t="n">
        <v>2.10849478258626E-009</v>
      </c>
      <c r="AX21" s="3" t="n">
        <v>5.5026434127715E-007</v>
      </c>
      <c r="AY21" s="3" t="n">
        <v>1.25224216973655E-007</v>
      </c>
      <c r="AZ21" s="3" t="n">
        <v>1.87781992109836E-007</v>
      </c>
      <c r="BA21" s="3" t="n">
        <v>0.000315127886951368</v>
      </c>
      <c r="BB21" s="3" t="n">
        <v>7.21755512914749E-005</v>
      </c>
      <c r="BC21" s="3" t="n">
        <v>0.000107924389576347</v>
      </c>
      <c r="BD21" s="3" t="n">
        <v>1.65164984861992E-006</v>
      </c>
      <c r="BE21" s="3" t="n">
        <v>9.07343391314519E-009</v>
      </c>
      <c r="BF21" s="3" t="n">
        <v>3.85726585435355E-007</v>
      </c>
      <c r="BG21" s="3" t="n">
        <v>2.98682721808719E-005</v>
      </c>
      <c r="BH21" s="3" t="n">
        <v>2.70977050770866E-007</v>
      </c>
      <c r="BI21" s="3" t="n">
        <v>3.12484897335084E-005</v>
      </c>
      <c r="BJ21" s="3" t="n">
        <v>0.00918171825093248</v>
      </c>
      <c r="BK21" s="3" t="n">
        <v>9.14698551981671E-005</v>
      </c>
      <c r="BL21" s="3" t="n">
        <v>0.0100566429475702</v>
      </c>
      <c r="BM21" s="3" t="n">
        <v>0.0145686177536236</v>
      </c>
      <c r="BN21" s="3" t="n">
        <v>0</v>
      </c>
      <c r="BO21" s="3" t="n">
        <v>0.0304170487998179</v>
      </c>
      <c r="BP21" s="3" t="n">
        <v>0</v>
      </c>
      <c r="BQ21" s="3" t="n">
        <v>0.199676103147654</v>
      </c>
      <c r="BR21" s="3" t="n">
        <v>0.0717547607563393</v>
      </c>
      <c r="BS21" s="169"/>
      <c r="BT21" s="169"/>
      <c r="BU21" s="169"/>
      <c r="BV21" s="169"/>
      <c r="BW21" s="169"/>
      <c r="BX21" s="169"/>
      <c r="BY21" s="169"/>
    </row>
    <row r="22" customFormat="false" ht="12.75" hidden="true" customHeight="false" outlineLevel="0" collapsed="false">
      <c r="A22" s="3" t="n">
        <v>4</v>
      </c>
      <c r="B22" s="3" t="n">
        <v>4.3</v>
      </c>
      <c r="C22" s="3" t="s">
        <v>274</v>
      </c>
      <c r="D22" s="3" t="s">
        <v>220</v>
      </c>
      <c r="E22" s="3" t="n">
        <v>1.05879832906667</v>
      </c>
      <c r="F22" s="3" t="n">
        <v>1.19808645404056</v>
      </c>
      <c r="G22" s="3" t="n">
        <v>0.82873023265864</v>
      </c>
      <c r="H22" s="3" t="n">
        <v>0.0240795480347871</v>
      </c>
      <c r="I22" s="3" t="n">
        <v>0.270098924181526</v>
      </c>
      <c r="J22" s="3" t="n">
        <v>0.301445000068565</v>
      </c>
      <c r="K22" s="3" t="n">
        <v>0.0125170399123185</v>
      </c>
      <c r="L22" s="3" t="n">
        <v>1.75607297162242E-029</v>
      </c>
      <c r="M22" s="3" t="n">
        <v>0.0590102002173969</v>
      </c>
      <c r="N22" s="3" t="n">
        <v>0</v>
      </c>
      <c r="O22" s="3" t="n">
        <v>0.0252113360782625</v>
      </c>
      <c r="P22" s="3" t="n">
        <v>0</v>
      </c>
      <c r="Q22" s="3" t="n">
        <v>0.0516918070949293</v>
      </c>
      <c r="R22" s="3" t="n">
        <v>2.10728756594691E-028</v>
      </c>
      <c r="S22" s="3" t="n">
        <v>0.0105235515362321</v>
      </c>
      <c r="T22" s="3" t="n">
        <v>0</v>
      </c>
      <c r="U22" s="3" t="n">
        <v>0.0341477341101473</v>
      </c>
      <c r="V22" s="3" t="n">
        <v>0</v>
      </c>
      <c r="W22" s="3" t="n">
        <v>9.64067535000074E-007</v>
      </c>
      <c r="X22" s="3" t="n">
        <v>0.000675803387979381</v>
      </c>
      <c r="Y22" s="3" t="n">
        <v>8.45378148340594E-006</v>
      </c>
      <c r="Z22" s="3" t="n">
        <v>0.00089635717846632</v>
      </c>
      <c r="AA22" s="3" t="n">
        <v>9.0417095243478E-006</v>
      </c>
      <c r="AB22" s="3" t="n">
        <v>0.000869878694748109</v>
      </c>
      <c r="AC22" s="3" t="n">
        <v>0.0555945183884052</v>
      </c>
      <c r="AD22" s="3" t="n">
        <v>0.24743592765219</v>
      </c>
      <c r="AE22" s="3" t="n">
        <v>0.392564104962315</v>
      </c>
      <c r="AF22" s="3" t="n">
        <v>0.00383690902536239</v>
      </c>
      <c r="AG22" s="3" t="n">
        <v>4.39018242905606E-029</v>
      </c>
      <c r="AH22" s="3" t="n">
        <v>0.00228573132753632</v>
      </c>
      <c r="AI22" s="3" t="n">
        <v>1.07182188209376E-033</v>
      </c>
      <c r="AJ22" s="3" t="n">
        <v>0.00199972026666697</v>
      </c>
      <c r="AK22" s="3" t="n">
        <v>0</v>
      </c>
      <c r="AL22" s="3" t="n">
        <v>3.31443515826087E-006</v>
      </c>
      <c r="AM22" s="3" t="n">
        <v>0.000582272418595377</v>
      </c>
      <c r="AN22" s="3" t="n">
        <v>1.55626763512315E-005</v>
      </c>
      <c r="AO22" s="3" t="n">
        <v>0.000645635386440274</v>
      </c>
      <c r="AP22" s="3" t="n">
        <v>0.000189155128622318</v>
      </c>
      <c r="AQ22" s="3" t="n">
        <v>0.00831957138124858</v>
      </c>
      <c r="AR22" s="3" t="n">
        <v>0.0102306918608676</v>
      </c>
      <c r="AS22" s="3" t="n">
        <v>0.216771337600006</v>
      </c>
      <c r="AT22" s="3" t="n">
        <v>1.32552219247538</v>
      </c>
      <c r="AU22" s="3" t="n">
        <v>4.82378949266439E-009</v>
      </c>
      <c r="AV22" s="3" t="n">
        <v>3.82175586945687E-009</v>
      </c>
      <c r="AW22" s="3" t="n">
        <v>3.98444456509703E-009</v>
      </c>
      <c r="AX22" s="3" t="n">
        <v>2.40984745097433E-007</v>
      </c>
      <c r="AY22" s="3" t="n">
        <v>1.00685724072044E-007</v>
      </c>
      <c r="AZ22" s="3" t="n">
        <v>2.180494648457E-007</v>
      </c>
      <c r="BA22" s="3" t="n">
        <v>0.000139537974637623</v>
      </c>
      <c r="BB22" s="3" t="n">
        <v>5.82092380179786E-005</v>
      </c>
      <c r="BC22" s="3" t="n">
        <v>0.000126040635139509</v>
      </c>
      <c r="BD22" s="3" t="n">
        <v>1.05367040318771E-006</v>
      </c>
      <c r="BE22" s="3" t="n">
        <v>1.12608068838553E-008</v>
      </c>
      <c r="BF22" s="3" t="n">
        <v>2.86194720538395E-005</v>
      </c>
      <c r="BG22" s="3" t="n">
        <v>1.54211100346193E-006</v>
      </c>
      <c r="BH22" s="3" t="n">
        <v>6.66794842564677E-007</v>
      </c>
      <c r="BI22" s="3" t="n">
        <v>0.00269834321933868</v>
      </c>
      <c r="BJ22" s="3" t="n">
        <v>0.000539145341862564</v>
      </c>
      <c r="BK22" s="3" t="n">
        <v>0.000213472606372966</v>
      </c>
      <c r="BL22" s="3" t="n">
        <v>0.870733552411609</v>
      </c>
      <c r="BM22" s="3" t="n">
        <v>0.0107422875905805</v>
      </c>
      <c r="BN22" s="3" t="n">
        <v>0</v>
      </c>
      <c r="BO22" s="3" t="n">
        <v>0.016418005321558</v>
      </c>
      <c r="BP22" s="3" t="n">
        <v>0</v>
      </c>
      <c r="BQ22" s="3" t="n">
        <v>0.214593105865035</v>
      </c>
      <c r="BR22" s="3" t="n">
        <v>0.135650401154883</v>
      </c>
      <c r="BS22" s="169"/>
      <c r="BT22" s="169"/>
      <c r="BU22" s="169"/>
      <c r="BV22" s="169"/>
      <c r="BW22" s="169"/>
      <c r="BX22" s="169"/>
      <c r="BY22" s="169"/>
    </row>
    <row r="23" customFormat="false" ht="12.75" hidden="true" customHeight="false" outlineLevel="0" collapsed="false">
      <c r="A23" s="3" t="n">
        <v>4</v>
      </c>
      <c r="B23" s="3" t="n">
        <v>4.4</v>
      </c>
      <c r="C23" s="3" t="s">
        <v>275</v>
      </c>
      <c r="D23" s="3" t="s">
        <v>220</v>
      </c>
      <c r="E23" s="3" t="n">
        <v>2.70072506060793</v>
      </c>
      <c r="F23" s="3" t="n">
        <v>2.5026720022195</v>
      </c>
      <c r="G23" s="3" t="n">
        <v>2.54387727869716</v>
      </c>
      <c r="H23" s="3" t="n">
        <v>0.00415130099710567</v>
      </c>
      <c r="I23" s="3" t="n">
        <v>0.0844972864395569</v>
      </c>
      <c r="J23" s="3" t="n">
        <v>0.0928898922919096</v>
      </c>
      <c r="K23" s="3" t="n">
        <v>0.00862596987753684</v>
      </c>
      <c r="L23" s="3" t="n">
        <v>1.92070481271202E-029</v>
      </c>
      <c r="M23" s="3" t="n">
        <v>0.0180874854427531</v>
      </c>
      <c r="N23" s="3" t="n">
        <v>0</v>
      </c>
      <c r="O23" s="3" t="n">
        <v>0.00587078245144904</v>
      </c>
      <c r="P23" s="3" t="n">
        <v>0</v>
      </c>
      <c r="Q23" s="3" t="n">
        <v>0.0199678641152171</v>
      </c>
      <c r="R23" s="3" t="n">
        <v>1.05364378297345E-028</v>
      </c>
      <c r="S23" s="3" t="n">
        <v>0.00555632939130383</v>
      </c>
      <c r="T23" s="3" t="n">
        <v>0</v>
      </c>
      <c r="U23" s="3" t="n">
        <v>0.0220939776862297</v>
      </c>
      <c r="V23" s="3" t="n">
        <v>0</v>
      </c>
      <c r="W23" s="3" t="n">
        <v>9.05246225731891E-006</v>
      </c>
      <c r="X23" s="3" t="n">
        <v>0.000362537766581451</v>
      </c>
      <c r="Y23" s="3" t="n">
        <v>3.52974224086954E-006</v>
      </c>
      <c r="Z23" s="3" t="n">
        <v>0.000362753897838294</v>
      </c>
      <c r="AA23" s="3" t="n">
        <v>3.39275816688413E-006</v>
      </c>
      <c r="AB23" s="3" t="n">
        <v>0.00150040156799563</v>
      </c>
      <c r="AC23" s="3" t="n">
        <v>0.466220298318841</v>
      </c>
      <c r="AD23" s="3" t="n">
        <v>0.2664171825826</v>
      </c>
      <c r="AE23" s="3" t="n">
        <v>0.217443908503618</v>
      </c>
      <c r="AF23" s="3" t="n">
        <v>0.00122602564565224</v>
      </c>
      <c r="AG23" s="3" t="n">
        <v>2.10728756594691E-028</v>
      </c>
      <c r="AH23" s="3" t="n">
        <v>0.00158959502536243</v>
      </c>
      <c r="AI23" s="3" t="n">
        <v>3.08148791101957E-033</v>
      </c>
      <c r="AJ23" s="3" t="n">
        <v>0.00125636946014501</v>
      </c>
      <c r="AK23" s="3" t="n">
        <v>0</v>
      </c>
      <c r="AL23" s="3" t="n">
        <v>5.36246432364461E-005</v>
      </c>
      <c r="AM23" s="3" t="n">
        <v>0.000476632113527264</v>
      </c>
      <c r="AN23" s="3" t="n">
        <v>5.65077211092758E-005</v>
      </c>
      <c r="AO23" s="3" t="n">
        <v>0.000365394280118798</v>
      </c>
      <c r="AP23" s="3" t="n">
        <v>7.57273661956576E-007</v>
      </c>
      <c r="AQ23" s="3" t="n">
        <v>0.00050645174694344</v>
      </c>
      <c r="AR23" s="3" t="n">
        <v>0.633636589805768</v>
      </c>
      <c r="AS23" s="3" t="n">
        <v>0.624234101388388</v>
      </c>
      <c r="AT23" s="3" t="n">
        <v>0.00420388891521734</v>
      </c>
      <c r="AU23" s="3" t="n">
        <v>6.89154915224996E-008</v>
      </c>
      <c r="AV23" s="3" t="n">
        <v>2.97362427539114E-009</v>
      </c>
      <c r="AW23" s="3" t="n">
        <v>6.39477701444485E-008</v>
      </c>
      <c r="AX23" s="3" t="n">
        <v>8.69857188420459E-007</v>
      </c>
      <c r="AY23" s="3" t="n">
        <v>1.37447227993978E-007</v>
      </c>
      <c r="AZ23" s="3" t="n">
        <v>1.54585479194745E-007</v>
      </c>
      <c r="BA23" s="3" t="n">
        <v>0.000511056202676705</v>
      </c>
      <c r="BB23" s="3" t="n">
        <v>7.91749275258836E-005</v>
      </c>
      <c r="BC23" s="3" t="n">
        <v>9.08021236396041E-005</v>
      </c>
      <c r="BD23" s="3" t="n">
        <v>4.27468597970207E-007</v>
      </c>
      <c r="BE23" s="3" t="n">
        <v>1.59826817389463E-008</v>
      </c>
      <c r="BF23" s="3" t="n">
        <v>4.65628880434887E-008</v>
      </c>
      <c r="BG23" s="3" t="n">
        <v>9.5623753268499E-007</v>
      </c>
      <c r="BH23" s="3" t="n">
        <v>2.06138324401536E-007</v>
      </c>
      <c r="BI23" s="3" t="n">
        <v>9.09178980982671E-006</v>
      </c>
      <c r="BJ23" s="3" t="n">
        <v>0.000351468763382928</v>
      </c>
      <c r="BK23" s="3" t="n">
        <v>7.02814727562486E-005</v>
      </c>
      <c r="BL23" s="3" t="n">
        <v>0.00298232242904434</v>
      </c>
      <c r="BM23" s="3" t="n">
        <v>0.00830294553894866</v>
      </c>
      <c r="BN23" s="3" t="n">
        <v>0</v>
      </c>
      <c r="BO23" s="3" t="n">
        <v>0</v>
      </c>
      <c r="BP23" s="3" t="n">
        <v>0.572075611299813</v>
      </c>
      <c r="BQ23" s="3" t="n">
        <v>0.616259286231885</v>
      </c>
      <c r="BR23" s="3" t="n">
        <v>0</v>
      </c>
      <c r="BS23" s="169"/>
      <c r="BT23" s="169"/>
      <c r="BU23" s="169"/>
      <c r="BV23" s="169"/>
      <c r="BW23" s="169"/>
      <c r="BX23" s="169"/>
      <c r="BY23" s="169"/>
    </row>
    <row r="24" customFormat="false" ht="12.75" hidden="true" customHeight="false" outlineLevel="0" collapsed="false">
      <c r="A24" s="3" t="n">
        <v>4</v>
      </c>
      <c r="B24" s="3" t="n">
        <v>4.4</v>
      </c>
      <c r="C24" s="3" t="s">
        <v>276</v>
      </c>
      <c r="D24" s="3" t="s">
        <v>220</v>
      </c>
      <c r="E24" s="3" t="n">
        <v>0.825707676851452</v>
      </c>
      <c r="F24" s="3" t="n">
        <v>0.773383574938377</v>
      </c>
      <c r="G24" s="3" t="n">
        <v>0.838493663504187</v>
      </c>
      <c r="H24" s="3" t="n">
        <v>0.00163332319999789</v>
      </c>
      <c r="I24" s="3" t="n">
        <v>0.0914726466516215</v>
      </c>
      <c r="J24" s="3" t="n">
        <v>0.0954806057922654</v>
      </c>
      <c r="K24" s="3" t="n">
        <v>0.0183527772862308</v>
      </c>
      <c r="L24" s="3" t="n">
        <v>1.31705472871681E-029</v>
      </c>
      <c r="M24" s="3" t="n">
        <v>0.0383858235014458</v>
      </c>
      <c r="N24" s="3" t="n">
        <v>0</v>
      </c>
      <c r="O24" s="3" t="n">
        <v>0.0102214303239134</v>
      </c>
      <c r="P24" s="3" t="n">
        <v>0</v>
      </c>
      <c r="Q24" s="3" t="n">
        <v>0.0300438233384046</v>
      </c>
      <c r="R24" s="3" t="n">
        <v>1.05364378297345E-028</v>
      </c>
      <c r="S24" s="3" t="n">
        <v>0.0141031869384046</v>
      </c>
      <c r="T24" s="3" t="n">
        <v>0</v>
      </c>
      <c r="U24" s="3" t="n">
        <v>0.0596408462891307</v>
      </c>
      <c r="V24" s="3" t="n">
        <v>0</v>
      </c>
      <c r="W24" s="3" t="n">
        <v>2.05901681384073E-006</v>
      </c>
      <c r="X24" s="3" t="n">
        <v>0.000305349797752556</v>
      </c>
      <c r="Y24" s="3" t="n">
        <v>5.85474526086897E-007</v>
      </c>
      <c r="Z24" s="3" t="n">
        <v>0.00053676781254683</v>
      </c>
      <c r="AA24" s="3" t="n">
        <v>1.86428994318837E-006</v>
      </c>
      <c r="AB24" s="3" t="n">
        <v>0.00118427817623237</v>
      </c>
      <c r="AC24" s="3" t="n">
        <v>0.181210862756527</v>
      </c>
      <c r="AD24" s="3" t="n">
        <v>0.0323099263123173</v>
      </c>
      <c r="AE24" s="3" t="n">
        <v>0.142466350953618</v>
      </c>
      <c r="AF24" s="3" t="n">
        <v>0.00260809316449277</v>
      </c>
      <c r="AG24" s="3" t="n">
        <v>1.05364378297345E-028</v>
      </c>
      <c r="AH24" s="3" t="n">
        <v>0.00389798058840561</v>
      </c>
      <c r="AI24" s="3" t="n">
        <v>1.74171055840236E-033</v>
      </c>
      <c r="AJ24" s="3" t="n">
        <v>0.00192518187826086</v>
      </c>
      <c r="AK24" s="3" t="n">
        <v>0</v>
      </c>
      <c r="AL24" s="3" t="n">
        <v>6.99776569710167E-006</v>
      </c>
      <c r="AM24" s="3" t="n">
        <v>0.00041582902901047</v>
      </c>
      <c r="AN24" s="3" t="n">
        <v>1.85310668599995E-005</v>
      </c>
      <c r="AO24" s="3" t="n">
        <v>0.000988600120325619</v>
      </c>
      <c r="AP24" s="3" t="n">
        <v>4.75243988166668E-006</v>
      </c>
      <c r="AQ24" s="3" t="n">
        <v>0.000657403580180733</v>
      </c>
      <c r="AR24" s="3" t="n">
        <v>0.0743399185391224</v>
      </c>
      <c r="AS24" s="3" t="n">
        <v>0.33896321551232</v>
      </c>
      <c r="AT24" s="3" t="n">
        <v>0.0118182125884055</v>
      </c>
      <c r="AU24" s="3" t="n">
        <v>3.17964718841358E-007</v>
      </c>
      <c r="AV24" s="3" t="n">
        <v>3.2156252173805E-009</v>
      </c>
      <c r="AW24" s="3" t="n">
        <v>1.99708978264466E-009</v>
      </c>
      <c r="AX24" s="3" t="n">
        <v>3.97538079667315E-007</v>
      </c>
      <c r="AY24" s="3" t="n">
        <v>1.75790588272463E-007</v>
      </c>
      <c r="AZ24" s="3" t="n">
        <v>1.3126762431449E-007</v>
      </c>
      <c r="BA24" s="3" t="n">
        <v>0.00024026940914463</v>
      </c>
      <c r="BB24" s="3" t="n">
        <v>0.000101513233345681</v>
      </c>
      <c r="BC24" s="3" t="n">
        <v>7.53704774895732E-005</v>
      </c>
      <c r="BD24" s="3" t="n">
        <v>9.27031407537136E-007</v>
      </c>
      <c r="BE24" s="3" t="n">
        <v>3.53928810872845E-008</v>
      </c>
      <c r="BF24" s="3" t="n">
        <v>2.41651031231685E-007</v>
      </c>
      <c r="BG24" s="3" t="n">
        <v>1.90547315176096E-006</v>
      </c>
      <c r="BH24" s="3" t="n">
        <v>2.17662172305077E-007</v>
      </c>
      <c r="BI24" s="3" t="n">
        <v>2.80024625335043E-005</v>
      </c>
      <c r="BJ24" s="3" t="n">
        <v>0.00067589734112874</v>
      </c>
      <c r="BK24" s="3" t="n">
        <v>6.54568882695259E-005</v>
      </c>
      <c r="BL24" s="3" t="n">
        <v>0.00909457221984175</v>
      </c>
      <c r="BM24" s="3" t="n">
        <v>0.0205315026041663</v>
      </c>
      <c r="BN24" s="3" t="n">
        <v>0</v>
      </c>
      <c r="BO24" s="3" t="n">
        <v>0</v>
      </c>
      <c r="BP24" s="3" t="n">
        <v>0.0261545973731913</v>
      </c>
      <c r="BQ24" s="3" t="n">
        <v>0.404479700973727</v>
      </c>
      <c r="BR24" s="3" t="n">
        <v>0</v>
      </c>
      <c r="BS24" s="169"/>
      <c r="BT24" s="169"/>
      <c r="BU24" s="169"/>
      <c r="BV24" s="169"/>
      <c r="BW24" s="169"/>
      <c r="BX24" s="169"/>
      <c r="BY24" s="169"/>
    </row>
    <row r="25" customFormat="false" ht="12.75" hidden="true" customHeight="false" outlineLevel="0" collapsed="false">
      <c r="A25" s="3" t="n">
        <v>4</v>
      </c>
      <c r="B25" s="3" t="n">
        <v>4.4</v>
      </c>
      <c r="C25" s="3" t="s">
        <v>277</v>
      </c>
      <c r="D25" s="3" t="s">
        <v>220</v>
      </c>
      <c r="E25" s="3" t="n">
        <v>0.879985994710105</v>
      </c>
      <c r="F25" s="3" t="n">
        <v>0.797855975139119</v>
      </c>
      <c r="G25" s="3" t="n">
        <v>0.579831754183291</v>
      </c>
      <c r="H25" s="3" t="n">
        <v>0.00311375664927702</v>
      </c>
      <c r="I25" s="3" t="n">
        <v>0.106212525578074</v>
      </c>
      <c r="J25" s="3" t="n">
        <v>0.130328721890964</v>
      </c>
      <c r="K25" s="3" t="n">
        <v>0.00772675619058118</v>
      </c>
      <c r="L25" s="3" t="n">
        <v>1.31705472871681E-029</v>
      </c>
      <c r="M25" s="3" t="n">
        <v>0.0272010823623188</v>
      </c>
      <c r="N25" s="3" t="n">
        <v>0</v>
      </c>
      <c r="O25" s="3" t="n">
        <v>0.00989021167535955</v>
      </c>
      <c r="P25" s="3" t="n">
        <v>0</v>
      </c>
      <c r="Q25" s="3" t="n">
        <v>0.0330116668840552</v>
      </c>
      <c r="R25" s="3" t="n">
        <v>2.10728756594691E-028</v>
      </c>
      <c r="S25" s="3" t="n">
        <v>0.0097179901036233</v>
      </c>
      <c r="T25" s="3" t="n">
        <v>0</v>
      </c>
      <c r="U25" s="3" t="n">
        <v>0.0217740627934783</v>
      </c>
      <c r="V25" s="3" t="n">
        <v>0</v>
      </c>
      <c r="W25" s="3" t="n">
        <v>1.48332298601443E-006</v>
      </c>
      <c r="X25" s="3" t="n">
        <v>0.000271548766086882</v>
      </c>
      <c r="Y25" s="3" t="n">
        <v>1.56691795913023E-006</v>
      </c>
      <c r="Z25" s="3" t="n">
        <v>0.0026326342179584</v>
      </c>
      <c r="AA25" s="3" t="n">
        <v>2.68555762434776E-006</v>
      </c>
      <c r="AB25" s="3" t="n">
        <v>0.00439366116110293</v>
      </c>
      <c r="AC25" s="3" t="n">
        <v>0.0600697231391275</v>
      </c>
      <c r="AD25" s="3" t="n">
        <v>0.25527207787753</v>
      </c>
      <c r="AE25" s="3" t="n">
        <v>0.218838028880436</v>
      </c>
      <c r="AF25" s="3" t="n">
        <v>0.00184127312391308</v>
      </c>
      <c r="AG25" s="3" t="n">
        <v>2.10728756594691E-028</v>
      </c>
      <c r="AH25" s="3" t="n">
        <v>0.00143534900869558</v>
      </c>
      <c r="AI25" s="3" t="n">
        <v>2.67955470523441E-033</v>
      </c>
      <c r="AJ25" s="3" t="n">
        <v>0.00193006982536214</v>
      </c>
      <c r="AK25" s="3" t="n">
        <v>0</v>
      </c>
      <c r="AL25" s="3" t="n">
        <v>9.24800684514456E-006</v>
      </c>
      <c r="AM25" s="3" t="n">
        <v>0.000106018954459048</v>
      </c>
      <c r="AN25" s="3" t="n">
        <v>1.36545012607966E-005</v>
      </c>
      <c r="AO25" s="3" t="n">
        <v>0.000372620801032651</v>
      </c>
      <c r="AP25" s="3" t="n">
        <v>0.00014920810253884</v>
      </c>
      <c r="AQ25" s="3" t="n">
        <v>0.000291348856586388</v>
      </c>
      <c r="AR25" s="3" t="n">
        <v>0.031570087112318</v>
      </c>
      <c r="AS25" s="3" t="n">
        <v>0.170529499042761</v>
      </c>
      <c r="AT25" s="3" t="n">
        <v>0.796551602260871</v>
      </c>
      <c r="AU25" s="3" t="n">
        <v>4.28354021758356E-009</v>
      </c>
      <c r="AV25" s="3" t="n">
        <v>4.93301652173836E-009</v>
      </c>
      <c r="AW25" s="3" t="n">
        <v>7.52939934778483E-009</v>
      </c>
      <c r="AX25" s="3" t="n">
        <v>4.33809868873997E-007</v>
      </c>
      <c r="AY25" s="3" t="n">
        <v>1.37407433102867E-007</v>
      </c>
      <c r="AZ25" s="3" t="n">
        <v>1.20008312296044E-007</v>
      </c>
      <c r="BA25" s="3" t="n">
        <v>0.000251607460387889</v>
      </c>
      <c r="BB25" s="3" t="n">
        <v>7.955027427775E-005</v>
      </c>
      <c r="BC25" s="3" t="n">
        <v>6.87606674083412E-005</v>
      </c>
      <c r="BD25" s="3" t="n">
        <v>1.54142732058067E-006</v>
      </c>
      <c r="BE25" s="3" t="n">
        <v>1.19101692756193E-008</v>
      </c>
      <c r="BF25" s="3" t="n">
        <v>2.03803379292733E-005</v>
      </c>
      <c r="BG25" s="3" t="n">
        <v>6.78009176338642E-007</v>
      </c>
      <c r="BH25" s="3" t="n">
        <v>4.04428374914104E-007</v>
      </c>
      <c r="BI25" s="3" t="n">
        <v>0.00190237300921562</v>
      </c>
      <c r="BJ25" s="3" t="n">
        <v>0.000137025361560123</v>
      </c>
      <c r="BK25" s="3" t="n">
        <v>0.000133515608955006</v>
      </c>
      <c r="BL25" s="3" t="n">
        <v>0.613647096481619</v>
      </c>
      <c r="BM25" s="3" t="n">
        <v>0.00490938485054368</v>
      </c>
      <c r="BN25" s="3" t="n">
        <v>0</v>
      </c>
      <c r="BO25" s="3" t="n">
        <v>0</v>
      </c>
      <c r="BP25" s="3" t="n">
        <v>0.0151070158514496</v>
      </c>
      <c r="BQ25" s="3" t="n">
        <v>0.156710898097823</v>
      </c>
      <c r="BR25" s="3" t="n">
        <v>0</v>
      </c>
      <c r="BS25" s="169"/>
      <c r="BT25" s="169"/>
      <c r="BU25" s="169"/>
      <c r="BV25" s="169"/>
      <c r="BW25" s="169"/>
      <c r="BX25" s="169"/>
      <c r="BY25" s="169"/>
    </row>
    <row r="26" customFormat="false" ht="12.75" hidden="false" customHeight="false" outlineLevel="0" collapsed="false">
      <c r="A26" s="3" t="n">
        <v>3</v>
      </c>
      <c r="B26" s="3" t="n">
        <v>3.1</v>
      </c>
      <c r="C26" s="3" t="s">
        <v>244</v>
      </c>
      <c r="D26" s="3" t="s">
        <v>220</v>
      </c>
      <c r="E26" s="3" t="n">
        <v>0.0129191773174608</v>
      </c>
      <c r="F26" s="3" t="n">
        <v>1.98562130318309E-005</v>
      </c>
      <c r="G26" s="3" t="n">
        <v>2.08297370751403E-005</v>
      </c>
      <c r="H26" s="3" t="n">
        <v>0.0120312801477314</v>
      </c>
      <c r="I26" s="3" t="n">
        <v>4.93120478854431E-005</v>
      </c>
      <c r="J26" s="3" t="n">
        <v>0.0135871402455352</v>
      </c>
      <c r="K26" s="3" t="n">
        <v>0.0467865801090213</v>
      </c>
      <c r="L26" s="168" t="n">
        <v>0</v>
      </c>
      <c r="M26" s="3" t="n">
        <v>0.131887783623149</v>
      </c>
      <c r="N26" s="3" t="n">
        <v>0</v>
      </c>
      <c r="O26" s="3" t="n">
        <v>0.0469204155738406</v>
      </c>
      <c r="P26" s="3" t="n">
        <v>0</v>
      </c>
      <c r="Q26" s="3" t="n">
        <v>0.145434012450924</v>
      </c>
      <c r="R26" s="168" t="n">
        <v>0.00162415545016905</v>
      </c>
      <c r="S26" s="3" t="n">
        <v>0.0449497032682929</v>
      </c>
      <c r="T26" s="3" t="n">
        <v>0</v>
      </c>
      <c r="U26" s="3" t="n">
        <v>0.138765594141886</v>
      </c>
      <c r="V26" s="3" t="n">
        <v>0.000910859391103519</v>
      </c>
      <c r="W26" s="168" t="n">
        <v>1.74138177019675E-007</v>
      </c>
      <c r="X26" s="168" t="n">
        <v>0.000325648803741743</v>
      </c>
      <c r="Y26" s="168" t="n">
        <v>4.48219177027073E-007</v>
      </c>
      <c r="Z26" s="168" t="n">
        <v>0.000773852703721297</v>
      </c>
      <c r="AA26" s="168" t="n">
        <v>2.11940819634019E-007</v>
      </c>
      <c r="AB26" s="168" t="n">
        <v>0.00250268598708309</v>
      </c>
      <c r="AC26" s="3" t="n">
        <v>0.00429193876293275</v>
      </c>
      <c r="AD26" s="3" t="n">
        <v>0.00230349726280786</v>
      </c>
      <c r="AE26" s="3" t="n">
        <v>0.000385994350641213</v>
      </c>
      <c r="AF26" s="3" t="n">
        <v>0.00827683691874989</v>
      </c>
      <c r="AG26" s="168" t="n">
        <v>5.69401892247127E-008</v>
      </c>
      <c r="AH26" s="3" t="n">
        <v>0.00876175093958386</v>
      </c>
      <c r="AI26" s="3" t="n">
        <v>0.000974892715218885</v>
      </c>
      <c r="AJ26" s="3" t="n">
        <v>0.00915566500208233</v>
      </c>
      <c r="AK26" s="168" t="n">
        <v>0.00169367382328806</v>
      </c>
      <c r="AL26" s="168" t="n">
        <v>7.79937608213391E-008</v>
      </c>
      <c r="AM26" s="168" t="n">
        <v>0.00797940433217928</v>
      </c>
      <c r="AN26" s="168" t="n">
        <v>1.57388276388989E-007</v>
      </c>
      <c r="AO26" s="168" t="n">
        <v>0.00954875183202131</v>
      </c>
      <c r="AP26" s="168" t="n">
        <v>2.20593760632528E-007</v>
      </c>
      <c r="AQ26" s="168" t="n">
        <v>0.0207504741866667</v>
      </c>
      <c r="AR26" s="3" t="n">
        <v>1.70166653944681E-005</v>
      </c>
      <c r="AS26" s="3" t="n">
        <v>2.02772229835645E-006</v>
      </c>
      <c r="AT26" s="3" t="n">
        <v>2.00609301509262E-006</v>
      </c>
      <c r="AU26" s="168" t="n">
        <v>3.80432058958589E-007</v>
      </c>
      <c r="AV26" s="168" t="n">
        <v>4.2373466090158E-007</v>
      </c>
      <c r="AW26" s="168" t="n">
        <v>1.65550450731695E-006</v>
      </c>
      <c r="AX26" s="168" t="n">
        <v>3.60676509246423E-009</v>
      </c>
      <c r="AY26" s="168" t="n">
        <v>1.63953432585268E-008</v>
      </c>
      <c r="AZ26" s="168" t="n">
        <v>5.06832113171272E-009</v>
      </c>
      <c r="BA26" s="168" t="n">
        <v>2.11451738082809E-006</v>
      </c>
      <c r="BB26" s="168" t="n">
        <v>9.53960314231907E-006</v>
      </c>
      <c r="BC26" s="168" t="n">
        <v>3.09102444246474E-006</v>
      </c>
      <c r="BD26" s="168" t="n">
        <v>2.93463081250444E-008</v>
      </c>
      <c r="BE26" s="168" t="n">
        <v>8.78161471520879E-008</v>
      </c>
      <c r="BF26" s="168" t="n">
        <v>8.42337750017824E-009</v>
      </c>
      <c r="BG26" s="168" t="n">
        <v>7.83795006445063E-009</v>
      </c>
      <c r="BH26" s="168" t="n">
        <v>3.07069163522938E-010</v>
      </c>
      <c r="BI26" s="168" t="n">
        <v>1.26812101480477E-008</v>
      </c>
      <c r="BJ26" s="168" t="n">
        <v>2.82670305182355E-006</v>
      </c>
      <c r="BK26" s="168" t="n">
        <v>1.05824365923861E-007</v>
      </c>
      <c r="BL26" s="3" t="n">
        <v>4.43805063774772E-006</v>
      </c>
      <c r="BM26" s="3" t="n">
        <v>0</v>
      </c>
      <c r="BN26" s="3" t="n">
        <v>0</v>
      </c>
      <c r="BO26" s="3" t="n">
        <v>0</v>
      </c>
      <c r="BP26" s="3" t="n">
        <v>0</v>
      </c>
      <c r="BQ26" s="3" t="n">
        <v>0</v>
      </c>
      <c r="BR26" s="3" t="n">
        <v>0</v>
      </c>
      <c r="BS26" s="169"/>
      <c r="BT26" s="169"/>
      <c r="BU26" s="169"/>
      <c r="BV26" s="169"/>
      <c r="BW26" s="169"/>
      <c r="BX26" s="169"/>
      <c r="BY26" s="169"/>
    </row>
    <row r="27" customFormat="false" ht="12.75" hidden="false" customHeight="false" outlineLevel="0" collapsed="false">
      <c r="A27" s="3" t="n">
        <v>3</v>
      </c>
      <c r="B27" s="3" t="n">
        <v>3.2</v>
      </c>
      <c r="C27" s="3" t="s">
        <v>244</v>
      </c>
      <c r="D27" s="3" t="s">
        <v>220</v>
      </c>
      <c r="E27" s="3" t="n">
        <v>1.20208643957158</v>
      </c>
      <c r="F27" s="3" t="n">
        <v>1.12477682203773</v>
      </c>
      <c r="G27" s="3" t="n">
        <v>2.80280706786375</v>
      </c>
      <c r="H27" s="3" t="n">
        <v>0.00239603444467652</v>
      </c>
      <c r="I27" s="3" t="n">
        <v>0.376548459203161</v>
      </c>
      <c r="J27" s="3" t="n">
        <v>0.336135096860044</v>
      </c>
      <c r="K27" s="3" t="n">
        <v>0.0278529852777768</v>
      </c>
      <c r="L27" s="168" t="n">
        <v>0</v>
      </c>
      <c r="M27" s="3" t="n">
        <v>0.047028191886343</v>
      </c>
      <c r="N27" s="3" t="n">
        <v>0</v>
      </c>
      <c r="O27" s="3" t="n">
        <v>0.0124155738259256</v>
      </c>
      <c r="P27" s="3" t="n">
        <v>0</v>
      </c>
      <c r="Q27" s="3" t="n">
        <v>0.0564486094488418</v>
      </c>
      <c r="R27" s="168" t="n">
        <v>0.000345087298661155</v>
      </c>
      <c r="S27" s="3" t="n">
        <v>0.0288985268361053</v>
      </c>
      <c r="T27" s="3" t="n">
        <v>0</v>
      </c>
      <c r="U27" s="3" t="n">
        <v>0.104935535391889</v>
      </c>
      <c r="V27" s="3" t="n">
        <v>7.11823576263991E-005</v>
      </c>
      <c r="W27" s="168" t="n">
        <v>6.57746100062503E-006</v>
      </c>
      <c r="X27" s="3" t="n">
        <v>0.0055828772582342</v>
      </c>
      <c r="Y27" s="168" t="n">
        <v>2.90899882896458E-006</v>
      </c>
      <c r="Z27" s="3" t="n">
        <v>0.00350290996633762</v>
      </c>
      <c r="AA27" s="168" t="n">
        <v>8.19747080093349E-007</v>
      </c>
      <c r="AB27" s="3" t="n">
        <v>0.00962309354124177</v>
      </c>
      <c r="AC27" s="3" t="n">
        <v>0.187305239182169</v>
      </c>
      <c r="AD27" s="3" t="n">
        <v>0.0284555164071782</v>
      </c>
      <c r="AE27" s="3" t="n">
        <v>0.252523470909946</v>
      </c>
      <c r="AF27" s="3" t="n">
        <v>0.00266210521689799</v>
      </c>
      <c r="AG27" s="168" t="n">
        <v>2.78983535631432E-007</v>
      </c>
      <c r="AH27" s="3" t="n">
        <v>0.00620402365578763</v>
      </c>
      <c r="AI27" s="3" t="n">
        <v>4.85074066319875E-005</v>
      </c>
      <c r="AJ27" s="3" t="n">
        <v>0.0032286952020834</v>
      </c>
      <c r="AK27" s="168" t="n">
        <v>0.000392368826423372</v>
      </c>
      <c r="AL27" s="3" t="n">
        <v>9.30078950083573E-005</v>
      </c>
      <c r="AM27" s="3" t="n">
        <v>0.0178948185913508</v>
      </c>
      <c r="AN27" s="3" t="n">
        <v>8.4197020445369E-006</v>
      </c>
      <c r="AO27" s="3" t="n">
        <v>0.0037049989257651</v>
      </c>
      <c r="AP27" s="3" t="n">
        <v>3.65406793419001E-006</v>
      </c>
      <c r="AQ27" s="3" t="n">
        <v>0.00493010121836386</v>
      </c>
      <c r="AR27" s="3" t="n">
        <v>0.0442693470645846</v>
      </c>
      <c r="AS27" s="3" t="n">
        <v>0.212516474017591</v>
      </c>
      <c r="AT27" s="3" t="n">
        <v>0.173279653145372</v>
      </c>
      <c r="AU27" s="168" t="n">
        <v>0.000205430673718147</v>
      </c>
      <c r="AV27" s="168" t="n">
        <v>0.00028803388670782</v>
      </c>
      <c r="AW27" s="3" t="n">
        <v>0.000690046749013369</v>
      </c>
      <c r="AX27" s="168" t="n">
        <v>0.000476805464909363</v>
      </c>
      <c r="AY27" s="168" t="n">
        <v>0.000643417215330867</v>
      </c>
      <c r="AZ27" s="168" t="n">
        <v>0.000849622821487499</v>
      </c>
      <c r="BA27" s="3" t="n">
        <v>0.261914093087363</v>
      </c>
      <c r="BB27" s="3" t="n">
        <v>0.349910461242769</v>
      </c>
      <c r="BC27" s="3" t="n">
        <v>0.454107670330197</v>
      </c>
      <c r="BD27" s="168" t="n">
        <v>5.43415245507183E-006</v>
      </c>
      <c r="BE27" s="168" t="n">
        <v>7.67345673840545E-006</v>
      </c>
      <c r="BF27" s="168" t="n">
        <v>7.82203411696314E-005</v>
      </c>
      <c r="BG27" s="168" t="n">
        <v>1.42424779831087E-006</v>
      </c>
      <c r="BH27" s="168" t="n">
        <v>4.34398392196716E-007</v>
      </c>
      <c r="BI27" s="3" t="n">
        <v>5.7479977604788E-005</v>
      </c>
      <c r="BJ27" s="3" t="n">
        <v>0.000962121456268302</v>
      </c>
      <c r="BK27" s="3" t="n">
        <v>3.06020537466832E-006</v>
      </c>
      <c r="BL27" s="3" t="n">
        <v>0.0125773636407619</v>
      </c>
      <c r="BM27" s="3" t="n">
        <v>0</v>
      </c>
      <c r="BN27" s="3" t="n">
        <v>0</v>
      </c>
      <c r="BO27" s="3" t="n">
        <v>0</v>
      </c>
      <c r="BP27" s="3" t="n">
        <v>0</v>
      </c>
      <c r="BQ27" s="3" t="n">
        <v>0</v>
      </c>
      <c r="BR27" s="3" t="n">
        <v>0</v>
      </c>
      <c r="BS27" s="169"/>
      <c r="BT27" s="169"/>
      <c r="BU27" s="169"/>
      <c r="BV27" s="169"/>
      <c r="BW27" s="169"/>
      <c r="BX27" s="169"/>
      <c r="BY27" s="169"/>
    </row>
    <row r="28" customFormat="false" ht="12.75" hidden="false" customHeight="false" outlineLevel="0" collapsed="false">
      <c r="A28" s="3" t="n">
        <v>3</v>
      </c>
      <c r="B28" s="3" t="n">
        <v>3.3</v>
      </c>
      <c r="C28" s="3" t="s">
        <v>244</v>
      </c>
      <c r="D28" s="3" t="s">
        <v>220</v>
      </c>
      <c r="E28" s="3" t="n">
        <v>0.0319032780071948</v>
      </c>
      <c r="F28" s="3" t="n">
        <v>0.0225825186925905</v>
      </c>
      <c r="G28" s="3" t="n">
        <v>0.125439481884044</v>
      </c>
      <c r="H28" s="3" t="n">
        <v>0.00673645820902772</v>
      </c>
      <c r="I28" s="3" t="n">
        <v>0.0468917894072312</v>
      </c>
      <c r="J28" s="3" t="n">
        <v>0.0684705418104429</v>
      </c>
      <c r="K28" s="3" t="n">
        <v>0.0631828281132007</v>
      </c>
      <c r="L28" s="3" t="n">
        <v>0</v>
      </c>
      <c r="M28" s="3" t="n">
        <v>0.136850956556479</v>
      </c>
      <c r="N28" s="3" t="n">
        <v>0</v>
      </c>
      <c r="O28" s="3" t="n">
        <v>0.0446948711946712</v>
      </c>
      <c r="P28" s="3" t="n">
        <v>0</v>
      </c>
      <c r="Q28" s="3" t="n">
        <v>0.177115722243268</v>
      </c>
      <c r="R28" s="3" t="n">
        <v>0.0011874180669095</v>
      </c>
      <c r="S28" s="3" t="n">
        <v>0.076992640656467</v>
      </c>
      <c r="T28" s="3" t="n">
        <v>0</v>
      </c>
      <c r="U28" s="3" t="n">
        <v>0.24105027448911</v>
      </c>
      <c r="V28" s="3" t="n">
        <v>0.00205258567432302</v>
      </c>
      <c r="W28" s="3" t="n">
        <v>2.36572833819432E-007</v>
      </c>
      <c r="X28" s="3" t="n">
        <v>0.00196694172577072</v>
      </c>
      <c r="Y28" s="3" t="n">
        <v>6.83476721203642E-007</v>
      </c>
      <c r="Z28" s="3" t="n">
        <v>0.00499852450731958</v>
      </c>
      <c r="AA28" s="3" t="n">
        <v>7.84892949328784E-007</v>
      </c>
      <c r="AB28" s="3" t="n">
        <v>0.00664183349830205</v>
      </c>
      <c r="AC28" s="3" t="n">
        <v>0.00535213580995451</v>
      </c>
      <c r="AD28" s="3" t="n">
        <v>0.00317089930023185</v>
      </c>
      <c r="AE28" s="3" t="n">
        <v>0.028873577153005</v>
      </c>
      <c r="AF28" s="3" t="n">
        <v>0.0103387483363426</v>
      </c>
      <c r="AG28" s="3" t="n">
        <v>0.00225354578698705</v>
      </c>
      <c r="AH28" s="3" t="n">
        <v>0.0175731935238429</v>
      </c>
      <c r="AI28" s="3" t="n">
        <v>1.28251960911132E-007</v>
      </c>
      <c r="AJ28" s="3" t="n">
        <v>0.0121777242474531</v>
      </c>
      <c r="AK28" s="3" t="n">
        <v>3.51909299880595E-006</v>
      </c>
      <c r="AL28" s="3" t="n">
        <v>2.59880665175879E-006</v>
      </c>
      <c r="AM28" s="3" t="n">
        <v>0.00467751095960425</v>
      </c>
      <c r="AN28" s="3" t="n">
        <v>9.07296668002174E-006</v>
      </c>
      <c r="AO28" s="3" t="n">
        <v>0.0176387513545814</v>
      </c>
      <c r="AP28" s="3" t="n">
        <v>3.40671336474998E-005</v>
      </c>
      <c r="AQ28" s="3" t="n">
        <v>0.0022740242240556</v>
      </c>
      <c r="AR28" s="3" t="n">
        <v>0.0128565071530082</v>
      </c>
      <c r="AS28" s="3" t="n">
        <v>0.00414720317569426</v>
      </c>
      <c r="AT28" s="3" t="n">
        <v>0.103903664405778</v>
      </c>
      <c r="AU28" s="3" t="n">
        <v>4.37483719570294E-005</v>
      </c>
      <c r="AV28" s="3" t="n">
        <v>4.0507019041413E-005</v>
      </c>
      <c r="AW28" s="3" t="n">
        <v>0.000155935510620045</v>
      </c>
      <c r="AX28" s="3" t="n">
        <v>6.0488012301042E-005</v>
      </c>
      <c r="AY28" s="3" t="n">
        <v>5.20169863125215E-005</v>
      </c>
      <c r="AZ28" s="3" t="n">
        <v>0.000146315975695848</v>
      </c>
      <c r="BA28" s="3" t="n">
        <v>0.0322440584386364</v>
      </c>
      <c r="BB28" s="3" t="n">
        <v>0.0273916451398787</v>
      </c>
      <c r="BC28" s="3" t="n">
        <v>0.0763420213514078</v>
      </c>
      <c r="BD28" s="3" t="n">
        <v>0.000148362086141759</v>
      </c>
      <c r="BE28" s="3" t="n">
        <v>8.8641883001628E-006</v>
      </c>
      <c r="BF28" s="3" t="n">
        <v>1.94921551583476E-006</v>
      </c>
      <c r="BG28" s="3" t="n">
        <v>4.16218747227429E-005</v>
      </c>
      <c r="BH28" s="3" t="n">
        <v>1.22683858477765E-007</v>
      </c>
      <c r="BI28" s="3" t="n">
        <v>0.000116113901843582</v>
      </c>
      <c r="BJ28" s="3" t="n">
        <v>0.00934901417522741</v>
      </c>
      <c r="BK28" s="3" t="n">
        <v>0.000291150792020815</v>
      </c>
      <c r="BL28" s="3" t="n">
        <v>0.0409428407847164</v>
      </c>
      <c r="BM28" s="3" t="n">
        <v>0.0421969803883771</v>
      </c>
      <c r="BN28" s="3" t="n">
        <v>0.0374358489583308</v>
      </c>
      <c r="BO28" s="3" t="n">
        <v>0.0165475544503913</v>
      </c>
      <c r="BP28" s="3" t="n">
        <v>0</v>
      </c>
      <c r="BQ28" s="3" t="n">
        <v>0</v>
      </c>
      <c r="BR28" s="3" t="n">
        <v>0</v>
      </c>
      <c r="BS28" s="169"/>
      <c r="BT28" s="169"/>
      <c r="BU28" s="169"/>
      <c r="BV28" s="169"/>
      <c r="BW28" s="169"/>
      <c r="BX28" s="169"/>
      <c r="BY28" s="169"/>
    </row>
    <row r="29" customFormat="false" ht="12.75" hidden="false" customHeight="false" outlineLevel="0" collapsed="false">
      <c r="A29" s="3" t="n">
        <v>3</v>
      </c>
      <c r="B29" s="3" t="n">
        <v>3.4</v>
      </c>
      <c r="C29" s="3" t="s">
        <v>244</v>
      </c>
      <c r="D29" s="3" t="s">
        <v>220</v>
      </c>
      <c r="E29" s="3" t="n">
        <v>7.07541396681454</v>
      </c>
      <c r="F29" s="3" t="n">
        <v>6.91896575092149</v>
      </c>
      <c r="G29" s="3" t="n">
        <v>6.22801155229435</v>
      </c>
      <c r="H29" s="3" t="n">
        <v>0.00897150206412657</v>
      </c>
      <c r="I29" s="3" t="n">
        <v>0.0181896769085633</v>
      </c>
      <c r="J29" s="3" t="n">
        <v>0.0339269974796047</v>
      </c>
      <c r="K29" s="3" t="n">
        <v>0.0339152690766199</v>
      </c>
      <c r="L29" s="3" t="n">
        <v>0</v>
      </c>
      <c r="M29" s="3" t="n">
        <v>0.0444351790342656</v>
      </c>
      <c r="N29" s="3" t="n">
        <v>0</v>
      </c>
      <c r="O29" s="3" t="n">
        <v>0.00742758583634185</v>
      </c>
      <c r="P29" s="3" t="n">
        <v>0</v>
      </c>
      <c r="Q29" s="3" t="n">
        <v>0.037905373803705</v>
      </c>
      <c r="R29" s="3" t="n">
        <v>0.000477326995838164</v>
      </c>
      <c r="S29" s="3" t="n">
        <v>0.0286892236731476</v>
      </c>
      <c r="T29" s="3" t="n">
        <v>0</v>
      </c>
      <c r="U29" s="3" t="n">
        <v>0.127793836837721</v>
      </c>
      <c r="V29" s="3" t="n">
        <v>0.000141558341681178</v>
      </c>
      <c r="W29" s="3" t="n">
        <v>1.64726177094674E-005</v>
      </c>
      <c r="X29" s="3" t="n">
        <v>0.00016276473560547</v>
      </c>
      <c r="Y29" s="3" t="n">
        <v>9.38416574342638E-006</v>
      </c>
      <c r="Z29" s="3" t="n">
        <v>0.00388741529280593</v>
      </c>
      <c r="AA29" s="3" t="n">
        <v>2.35081016775684E-005</v>
      </c>
      <c r="AB29" s="3" t="n">
        <v>0.00802793122801023</v>
      </c>
      <c r="AC29" s="3" t="n">
        <v>0.516538600598896</v>
      </c>
      <c r="AD29" s="3" t="n">
        <v>0.600928011796076</v>
      </c>
      <c r="AE29" s="3" t="n">
        <v>1.40537031995202</v>
      </c>
      <c r="AF29" s="3" t="n">
        <v>0.00200972324236053</v>
      </c>
      <c r="AG29" s="3" t="n">
        <v>0.000388370542924319</v>
      </c>
      <c r="AH29" s="3" t="n">
        <v>0.00696006589884297</v>
      </c>
      <c r="AI29" s="3" t="n">
        <v>1.87778269455409E-005</v>
      </c>
      <c r="AJ29" s="3" t="n">
        <v>0.0017720043398148</v>
      </c>
      <c r="AK29" s="3" t="n">
        <v>0.000768597755234457</v>
      </c>
      <c r="AL29" s="3" t="n">
        <v>4.8248180026411E-005</v>
      </c>
      <c r="AM29" s="3" t="n">
        <v>0.0101370409934263</v>
      </c>
      <c r="AN29" s="3" t="n">
        <v>0.000213194856064329</v>
      </c>
      <c r="AO29" s="3" t="n">
        <v>0.000497353858242866</v>
      </c>
      <c r="AP29" s="3" t="n">
        <v>7.63358560643293E-005</v>
      </c>
      <c r="AQ29" s="3" t="n">
        <v>0.00373709887463531</v>
      </c>
      <c r="AR29" s="3" t="n">
        <v>0.164438273477761</v>
      </c>
      <c r="AS29" s="3" t="n">
        <v>1.78213450885446</v>
      </c>
      <c r="AT29" s="3" t="n">
        <v>0.937399770583607</v>
      </c>
      <c r="AU29" s="3" t="n">
        <v>6.426338976593E-007</v>
      </c>
      <c r="AV29" s="3" t="n">
        <v>3.55520977940906E-007</v>
      </c>
      <c r="AW29" s="3" t="n">
        <v>5.10546083346265E-009</v>
      </c>
      <c r="AX29" s="3" t="n">
        <v>9.39742186843158E-009</v>
      </c>
      <c r="AY29" s="3" t="n">
        <v>3.45557273135576E-007</v>
      </c>
      <c r="AZ29" s="3" t="n">
        <v>2.99472763286023E-007</v>
      </c>
      <c r="BA29" s="3" t="n">
        <v>9.83679953026609E-006</v>
      </c>
      <c r="BB29" s="3" t="n">
        <v>0.000179364792937678</v>
      </c>
      <c r="BC29" s="3" t="n">
        <v>0.000174094010083576</v>
      </c>
      <c r="BD29" s="3" t="n">
        <v>3.93378579168965E-006</v>
      </c>
      <c r="BE29" s="3" t="n">
        <v>2.39249825625833E-007</v>
      </c>
      <c r="BF29" s="3" t="n">
        <v>2.07863860048594E-006</v>
      </c>
      <c r="BG29" s="3" t="n">
        <v>6.59301256575043E-006</v>
      </c>
      <c r="BH29" s="3" t="n">
        <v>2.59410500336337E-006</v>
      </c>
      <c r="BI29" s="3" t="n">
        <v>0.000192843136121817</v>
      </c>
      <c r="BJ29" s="3" t="n">
        <v>0.0021397134757099</v>
      </c>
      <c r="BK29" s="3" t="n">
        <v>0.00097003305997939</v>
      </c>
      <c r="BL29" s="3" t="n">
        <v>0.0619665126969988</v>
      </c>
      <c r="BM29" s="3" t="n">
        <v>0</v>
      </c>
      <c r="BN29" s="3" t="n">
        <v>0</v>
      </c>
      <c r="BO29" s="3" t="n">
        <v>0</v>
      </c>
      <c r="BP29" s="3" t="n">
        <v>0.120650952727143</v>
      </c>
      <c r="BQ29" s="3" t="n">
        <v>1.74871253106918</v>
      </c>
      <c r="BR29" s="3" t="n">
        <v>0.600181476381653</v>
      </c>
      <c r="BS29" s="169"/>
      <c r="BT29" s="169"/>
      <c r="BU29" s="169"/>
      <c r="BV29" s="169"/>
      <c r="BW29" s="169"/>
      <c r="BX29" s="169"/>
      <c r="BY29" s="169"/>
    </row>
    <row r="30" customFormat="false" ht="12.75" hidden="false" customHeight="false" outlineLevel="0" collapsed="false">
      <c r="A30" s="3" t="n">
        <v>4</v>
      </c>
      <c r="B30" s="3" t="n">
        <v>4.1</v>
      </c>
      <c r="C30" s="3" t="s">
        <v>244</v>
      </c>
      <c r="D30" s="3" t="s">
        <v>220</v>
      </c>
      <c r="E30" s="3" t="n">
        <v>0.00134315439450224</v>
      </c>
      <c r="F30" s="3" t="n">
        <v>3.91247773836121E-005</v>
      </c>
      <c r="G30" s="3" t="n">
        <v>1.84555886005575E-007</v>
      </c>
      <c r="H30" s="3" t="n">
        <v>0.00117275542193451</v>
      </c>
      <c r="I30" s="3" t="n">
        <v>4.3913944518254E-005</v>
      </c>
      <c r="J30" s="3" t="n">
        <v>0.00137011146370626</v>
      </c>
      <c r="K30" s="3" t="n">
        <v>0.00623153009745349</v>
      </c>
      <c r="L30" s="168" t="n">
        <v>0</v>
      </c>
      <c r="M30" s="3" t="n">
        <v>0.0247339678548683</v>
      </c>
      <c r="N30" s="3" t="n">
        <v>0</v>
      </c>
      <c r="O30" s="3" t="n">
        <v>0.00422628172939788</v>
      </c>
      <c r="P30" s="3" t="n">
        <v>0</v>
      </c>
      <c r="Q30" s="3" t="n">
        <v>0.00282699978772932</v>
      </c>
      <c r="R30" s="168" t="n">
        <v>0.00100363578958843</v>
      </c>
      <c r="S30" s="3" t="n">
        <v>0.000215759676620587</v>
      </c>
      <c r="T30" s="3" t="n">
        <v>0</v>
      </c>
      <c r="U30" s="3" t="n">
        <v>0.00443909222661992</v>
      </c>
      <c r="V30" s="3" t="n">
        <v>2.70647122745428E-005</v>
      </c>
      <c r="W30" s="168" t="n">
        <v>1.47733034962718E-007</v>
      </c>
      <c r="X30" s="168" t="n">
        <v>0.000258812703107642</v>
      </c>
      <c r="Y30" s="168" t="n">
        <v>1.48914846325683E-007</v>
      </c>
      <c r="Z30" s="168" t="n">
        <v>0.0019400920969828</v>
      </c>
      <c r="AA30" s="168" t="n">
        <v>6.45465044544049E-008</v>
      </c>
      <c r="AB30" s="168" t="n">
        <v>3.55864865757159E-005</v>
      </c>
      <c r="AC30" s="3" t="n">
        <v>0.00128361593861357</v>
      </c>
      <c r="AD30" s="3" t="n">
        <v>8.81205441967616E-005</v>
      </c>
      <c r="AE30" s="3" t="n">
        <v>3.67105863912014E-005</v>
      </c>
      <c r="AF30" s="3" t="n">
        <v>0.00157266358495329</v>
      </c>
      <c r="AG30" s="168" t="n">
        <v>5.65632505384384E-008</v>
      </c>
      <c r="AH30" s="3" t="n">
        <v>0.000281546147453702</v>
      </c>
      <c r="AI30" s="3" t="n">
        <v>1.37949805079443E-005</v>
      </c>
      <c r="AJ30" s="3" t="n">
        <v>0.000185742469444406</v>
      </c>
      <c r="AK30" s="168" t="n">
        <v>0.000947551535571984</v>
      </c>
      <c r="AL30" s="168" t="n">
        <v>2.38474949809622E-007</v>
      </c>
      <c r="AM30" s="3" t="n">
        <v>0.0254302975664226</v>
      </c>
      <c r="AN30" s="168" t="n">
        <v>3.39485942384424E-007</v>
      </c>
      <c r="AO30" s="3" t="n">
        <v>0.0126766106039315</v>
      </c>
      <c r="AP30" s="168" t="n">
        <v>3.29316003996674E-007</v>
      </c>
      <c r="AQ30" s="168" t="n">
        <v>0.0129044006652197</v>
      </c>
      <c r="AR30" s="3" t="n">
        <v>3.63006301620064E-008</v>
      </c>
      <c r="AS30" s="3" t="n">
        <v>3.49702732923635E-006</v>
      </c>
      <c r="AT30" s="3" t="n">
        <v>1.93853110889129E-005</v>
      </c>
      <c r="AU30" s="3" t="n">
        <v>1.22221777083987E-008</v>
      </c>
      <c r="AV30" s="3" t="n">
        <v>4.52966312731175E-008</v>
      </c>
      <c r="AW30" s="3" t="n">
        <v>2.05574370301082E-007</v>
      </c>
      <c r="AX30" s="3" t="n">
        <v>1.18892746542234E-008</v>
      </c>
      <c r="AY30" s="168" t="n">
        <v>3.69808757366638E-008</v>
      </c>
      <c r="AZ30" s="3" t="n">
        <v>3.0962448919234E-009</v>
      </c>
      <c r="BA30" s="3" t="n">
        <v>7.02266803090127E-006</v>
      </c>
      <c r="BB30" s="3" t="n">
        <v>2.16685051828972E-005</v>
      </c>
      <c r="BC30" s="3" t="n">
        <v>1.84840809131198E-006</v>
      </c>
      <c r="BD30" s="3" t="n">
        <v>1.45966528007442E-008</v>
      </c>
      <c r="BE30" s="3" t="n">
        <v>5.05092326621588E-008</v>
      </c>
      <c r="BF30" s="3" t="n">
        <v>2.13934882175356E-008</v>
      </c>
      <c r="BG30" s="3" t="n">
        <v>8.92136119656804E-010</v>
      </c>
      <c r="BH30" s="3" t="n">
        <v>5.27416829778143E-010</v>
      </c>
      <c r="BI30" s="3" t="n">
        <v>1.75374887485025E-008</v>
      </c>
      <c r="BJ30" s="3" t="n">
        <v>3.21715780123226E-007</v>
      </c>
      <c r="BK30" s="3" t="n">
        <v>1.82293033888026E-007</v>
      </c>
      <c r="BL30" s="3" t="n">
        <v>6.13457343216502E-006</v>
      </c>
      <c r="BM30" s="3" t="n">
        <v>0</v>
      </c>
      <c r="BN30" s="3" t="n">
        <v>0</v>
      </c>
      <c r="BO30" s="3" t="n">
        <v>0</v>
      </c>
      <c r="BP30" s="3" t="n">
        <v>0</v>
      </c>
      <c r="BQ30" s="3" t="n">
        <v>0</v>
      </c>
      <c r="BR30" s="3" t="n">
        <v>0</v>
      </c>
      <c r="BS30" s="169"/>
      <c r="BT30" s="169"/>
      <c r="BU30" s="169"/>
      <c r="BV30" s="169"/>
      <c r="BW30" s="169"/>
      <c r="BX30" s="169"/>
      <c r="BY30" s="169"/>
    </row>
    <row r="31" customFormat="false" ht="12.75" hidden="false" customHeight="false" outlineLevel="0" collapsed="false">
      <c r="A31" s="3" t="n">
        <v>4</v>
      </c>
      <c r="B31" s="3" t="n">
        <v>4.2</v>
      </c>
      <c r="C31" s="3" t="s">
        <v>244</v>
      </c>
      <c r="D31" s="3" t="s">
        <v>220</v>
      </c>
      <c r="E31" s="3" t="n">
        <v>3.79889012544212</v>
      </c>
      <c r="F31" s="3" t="n">
        <v>2.60220381208395</v>
      </c>
      <c r="G31" s="3" t="n">
        <v>2.66232605666511</v>
      </c>
      <c r="H31" s="3" t="n">
        <v>0.151182174550245</v>
      </c>
      <c r="I31" s="3" t="n">
        <v>0.00821700719825213</v>
      </c>
      <c r="J31" s="3" t="n">
        <v>0.11063622357866</v>
      </c>
      <c r="K31" s="3" t="n">
        <v>0.190604181216904</v>
      </c>
      <c r="L31" s="168" t="n">
        <v>0</v>
      </c>
      <c r="M31" s="3" t="n">
        <v>0.357858466589584</v>
      </c>
      <c r="N31" s="3" t="n">
        <v>0</v>
      </c>
      <c r="O31" s="3" t="n">
        <v>0.095216610362745</v>
      </c>
      <c r="P31" s="3" t="n">
        <v>0</v>
      </c>
      <c r="Q31" s="3" t="n">
        <v>0.398905220219481</v>
      </c>
      <c r="R31" s="168" t="n">
        <v>0.00126008927081587</v>
      </c>
      <c r="S31" s="3" t="n">
        <v>0.209966276119438</v>
      </c>
      <c r="T31" s="3" t="n">
        <v>0</v>
      </c>
      <c r="U31" s="3" t="n">
        <v>0.731522447830777</v>
      </c>
      <c r="V31" s="3" t="n">
        <v>3.74669147054687E-006</v>
      </c>
      <c r="W31" s="168" t="n">
        <v>6.85846982807865E-006</v>
      </c>
      <c r="X31" s="3" t="n">
        <v>0.000500419485425811</v>
      </c>
      <c r="Y31" s="3" t="n">
        <v>1.6106453880161E-005</v>
      </c>
      <c r="Z31" s="3" t="n">
        <v>0.000206960696193481</v>
      </c>
      <c r="AA31" s="168" t="n">
        <v>6.91784463488401E-006</v>
      </c>
      <c r="AB31" s="3" t="n">
        <v>0.00216687747685794</v>
      </c>
      <c r="AC31" s="3" t="n">
        <v>0.188037099794674</v>
      </c>
      <c r="AD31" s="3" t="n">
        <v>0.697240744817401</v>
      </c>
      <c r="AE31" s="3" t="n">
        <v>0.519229758865506</v>
      </c>
      <c r="AF31" s="3" t="n">
        <v>0.0189673633506957</v>
      </c>
      <c r="AG31" s="168" t="n">
        <v>2.9857707484906E-006</v>
      </c>
      <c r="AH31" s="3" t="n">
        <v>0.0461488538006948</v>
      </c>
      <c r="AI31" s="3" t="n">
        <v>2.96034975239889E-007</v>
      </c>
      <c r="AJ31" s="3" t="n">
        <v>0.0185940944182861</v>
      </c>
      <c r="AK31" s="168" t="n">
        <v>0.000344312656360338</v>
      </c>
      <c r="AL31" s="3" t="n">
        <v>6.84208461712697E-005</v>
      </c>
      <c r="AM31" s="3" t="n">
        <v>0.0020630505957947</v>
      </c>
      <c r="AN31" s="3" t="n">
        <v>1.10144594352781E-005</v>
      </c>
      <c r="AO31" s="3" t="n">
        <v>3.64988099156556E-005</v>
      </c>
      <c r="AP31" s="3" t="n">
        <v>0.000128162622094535</v>
      </c>
      <c r="AQ31" s="3" t="n">
        <v>0.00953427025856859</v>
      </c>
      <c r="AR31" s="3" t="n">
        <v>0.374484039753029</v>
      </c>
      <c r="AS31" s="3" t="n">
        <v>0.000728968042361338</v>
      </c>
      <c r="AT31" s="3" t="n">
        <v>1.01094201862103</v>
      </c>
      <c r="AU31" s="168" t="n">
        <v>2.42496498216766E-007</v>
      </c>
      <c r="AV31" s="168" t="n">
        <v>1.72194956875087E-007</v>
      </c>
      <c r="AW31" s="168" t="n">
        <v>5.79122382243799E-007</v>
      </c>
      <c r="AX31" s="3" t="n">
        <v>7.85679697417109E-007</v>
      </c>
      <c r="AY31" s="3" t="n">
        <v>1.32363137029169E-007</v>
      </c>
      <c r="AZ31" s="168" t="n">
        <v>5.75249462846677E-008</v>
      </c>
      <c r="BA31" s="3" t="n">
        <v>0.000431903996545609</v>
      </c>
      <c r="BB31" s="3" t="n">
        <v>6.78626955296782E-005</v>
      </c>
      <c r="BC31" s="3" t="n">
        <v>2.43719900735777E-005</v>
      </c>
      <c r="BD31" s="168" t="n">
        <v>1.12650478500868E-005</v>
      </c>
      <c r="BE31" s="168" t="n">
        <v>2.71895015648047E-007</v>
      </c>
      <c r="BF31" s="168" t="n">
        <v>1.42647373071611E-006</v>
      </c>
      <c r="BG31" s="168" t="n">
        <v>3.49850531065783E-006</v>
      </c>
      <c r="BH31" s="168" t="n">
        <v>1.9703971501883E-006</v>
      </c>
      <c r="BI31" s="3" t="n">
        <v>0.000775307263223254</v>
      </c>
      <c r="BJ31" s="3" t="n">
        <v>0.00213123421708245</v>
      </c>
      <c r="BK31" s="3" t="n">
        <v>0.000691834917525729</v>
      </c>
      <c r="BL31" s="3" t="n">
        <v>0.256240067180195</v>
      </c>
      <c r="BM31" s="3" t="n">
        <v>0.328740808051221</v>
      </c>
      <c r="BN31" s="3" t="n">
        <v>0</v>
      </c>
      <c r="BO31" s="3" t="n">
        <v>0.122149681749138</v>
      </c>
      <c r="BP31" s="3" t="n">
        <v>0.0395178323567696</v>
      </c>
      <c r="BQ31" s="3" t="n">
        <v>0</v>
      </c>
      <c r="BR31" s="3" t="n">
        <v>0.0243834006438054</v>
      </c>
      <c r="BS31" s="169"/>
      <c r="BT31" s="169"/>
      <c r="BU31" s="169"/>
      <c r="BV31" s="169"/>
      <c r="BW31" s="169"/>
      <c r="BX31" s="169"/>
      <c r="BY31" s="169"/>
    </row>
    <row r="32" customFormat="false" ht="12.75" hidden="false" customHeight="false" outlineLevel="0" collapsed="false">
      <c r="A32" s="3" t="n">
        <v>4</v>
      </c>
      <c r="B32" s="3" t="n">
        <v>4.3</v>
      </c>
      <c r="C32" s="3" t="s">
        <v>244</v>
      </c>
      <c r="D32" s="3" t="s">
        <v>220</v>
      </c>
      <c r="E32" s="3" t="n">
        <v>0.234384766994792</v>
      </c>
      <c r="F32" s="3" t="n">
        <v>0.324318797069701</v>
      </c>
      <c r="G32" s="3" t="n">
        <v>0.507810905757042</v>
      </c>
      <c r="H32" s="3" t="n">
        <v>0.0695942898777737</v>
      </c>
      <c r="I32" s="3" t="n">
        <v>0.0249994456746161</v>
      </c>
      <c r="J32" s="3" t="n">
        <v>0.100008470559699</v>
      </c>
      <c r="K32" s="3" t="n">
        <v>0.0362631934923594</v>
      </c>
      <c r="L32" s="3" t="n">
        <v>0</v>
      </c>
      <c r="M32" s="3" t="n">
        <v>0.130809102750695</v>
      </c>
      <c r="N32" s="3" t="n">
        <v>0</v>
      </c>
      <c r="O32" s="3" t="n">
        <v>0.0211116099131916</v>
      </c>
      <c r="P32" s="3" t="n">
        <v>0</v>
      </c>
      <c r="Q32" s="3" t="n">
        <v>0.0245146369145763</v>
      </c>
      <c r="R32" s="3" t="n">
        <v>7.91374208446017E-005</v>
      </c>
      <c r="S32" s="3" t="n">
        <v>0.00299942067800818</v>
      </c>
      <c r="T32" s="3" t="n">
        <v>0</v>
      </c>
      <c r="U32" s="3" t="n">
        <v>0.0256037104770866</v>
      </c>
      <c r="V32" s="3" t="n">
        <v>0.00114378557457126</v>
      </c>
      <c r="W32" s="3" t="n">
        <v>8.34149038981623E-007</v>
      </c>
      <c r="X32" s="3" t="n">
        <v>0.00108421757709146</v>
      </c>
      <c r="Y32" s="3" t="n">
        <v>1.89855341759262E-007</v>
      </c>
      <c r="Z32" s="3" t="n">
        <v>0.00043500478381418</v>
      </c>
      <c r="AA32" s="3" t="n">
        <v>3.20235771967528E-007</v>
      </c>
      <c r="AB32" s="3" t="n">
        <v>0.00116737192368615</v>
      </c>
      <c r="AC32" s="3" t="n">
        <v>0.014996359882177</v>
      </c>
      <c r="AD32" s="3" t="n">
        <v>0.0348169965516246</v>
      </c>
      <c r="AE32" s="3" t="n">
        <v>0.077379632188221</v>
      </c>
      <c r="AF32" s="3" t="n">
        <v>0.00839779430856407</v>
      </c>
      <c r="AG32" s="3" t="n">
        <v>0.00112259015291122</v>
      </c>
      <c r="AH32" s="3" t="n">
        <v>0.000313145689120418</v>
      </c>
      <c r="AI32" s="3" t="n">
        <v>2.94589457270803E-007</v>
      </c>
      <c r="AJ32" s="3" t="n">
        <v>0.00109668371458326</v>
      </c>
      <c r="AK32" s="3" t="n">
        <v>0.000850319372313097</v>
      </c>
      <c r="AL32" s="3" t="n">
        <v>4.14364980215294E-006</v>
      </c>
      <c r="AM32" s="3" t="n">
        <v>0.00404896404041303</v>
      </c>
      <c r="AN32" s="3" t="n">
        <v>3.17310236378027E-005</v>
      </c>
      <c r="AO32" s="3" t="n">
        <v>0.000331346299349395</v>
      </c>
      <c r="AP32" s="3" t="n">
        <v>1.7485537955281E-005</v>
      </c>
      <c r="AQ32" s="3" t="n">
        <v>0.00563212680920747</v>
      </c>
      <c r="AR32" s="3" t="n">
        <v>0.0135913874613472</v>
      </c>
      <c r="AS32" s="3" t="n">
        <v>0.381879109479861</v>
      </c>
      <c r="AT32" s="3" t="n">
        <v>0.0463064092675782</v>
      </c>
      <c r="AU32" s="3" t="n">
        <v>1.67461646064838E-008</v>
      </c>
      <c r="AV32" s="3" t="n">
        <v>7.85955134023945E-008</v>
      </c>
      <c r="AW32" s="3" t="n">
        <v>2.74699128633556E-007</v>
      </c>
      <c r="AX32" s="3" t="n">
        <v>1.72011064272086E-006</v>
      </c>
      <c r="AY32" s="3" t="n">
        <v>7.87590466700266E-008</v>
      </c>
      <c r="AZ32" s="3" t="n">
        <v>1.15955420346886E-007</v>
      </c>
      <c r="BA32" s="3" t="n">
        <v>0.000989274762687543</v>
      </c>
      <c r="BB32" s="3" t="n">
        <v>4.6239998497556E-005</v>
      </c>
      <c r="BC32" s="3" t="n">
        <v>5.90543965459168E-005</v>
      </c>
      <c r="BD32" s="3" t="n">
        <v>4.52082191312638E-006</v>
      </c>
      <c r="BE32" s="3" t="n">
        <v>9.18006071517408E-008</v>
      </c>
      <c r="BF32" s="3" t="n">
        <v>4.10337760933539E-006</v>
      </c>
      <c r="BG32" s="3" t="n">
        <v>3.69197197927492E-005</v>
      </c>
      <c r="BH32" s="3" t="n">
        <v>3.83739054434666E-007</v>
      </c>
      <c r="BI32" s="3" t="n">
        <v>0.000670321145733282</v>
      </c>
      <c r="BJ32" s="3" t="n">
        <v>0.0135350161700104</v>
      </c>
      <c r="BK32" s="3" t="n">
        <v>0.000155336470210044</v>
      </c>
      <c r="BL32" s="3" t="n">
        <v>0.219932608115712</v>
      </c>
      <c r="BM32" s="3" t="n">
        <v>0.00110210778356461</v>
      </c>
      <c r="BN32" s="3" t="n">
        <v>0</v>
      </c>
      <c r="BO32" s="3" t="n">
        <v>0.0547126154875606</v>
      </c>
      <c r="BP32" s="3" t="n">
        <v>0</v>
      </c>
      <c r="BQ32" s="3" t="n">
        <v>0.400434983109086</v>
      </c>
      <c r="BR32" s="3" t="n">
        <v>0.116568970630798</v>
      </c>
      <c r="BS32" s="169"/>
      <c r="BT32" s="169"/>
      <c r="BU32" s="169"/>
      <c r="BV32" s="169"/>
      <c r="BW32" s="169"/>
      <c r="BX32" s="169"/>
      <c r="BY32" s="169"/>
    </row>
    <row r="33" customFormat="false" ht="12.75" hidden="false" customHeight="false" outlineLevel="0" collapsed="false">
      <c r="A33" s="3" t="n">
        <v>4</v>
      </c>
      <c r="B33" s="3" t="n">
        <v>4.4</v>
      </c>
      <c r="C33" s="3" t="s">
        <v>244</v>
      </c>
      <c r="D33" s="3" t="s">
        <v>220</v>
      </c>
      <c r="E33" s="3" t="n">
        <v>5.18757130700223</v>
      </c>
      <c r="F33" s="3" t="n">
        <v>5.59724657695624</v>
      </c>
      <c r="G33" s="3" t="n">
        <v>5.66078443213302</v>
      </c>
      <c r="H33" s="3" t="n">
        <v>0.0295432328926158</v>
      </c>
      <c r="I33" s="3" t="n">
        <v>0.00154542568890408</v>
      </c>
      <c r="J33" s="3" t="n">
        <v>0.0442445189318361</v>
      </c>
      <c r="K33" s="3" t="n">
        <v>0.191705808823149</v>
      </c>
      <c r="L33" s="3" t="n">
        <v>0</v>
      </c>
      <c r="M33" s="3" t="n">
        <v>0.874189693721031</v>
      </c>
      <c r="N33" s="3" t="n">
        <v>0</v>
      </c>
      <c r="O33" s="3" t="n">
        <v>0.338129482521062</v>
      </c>
      <c r="P33" s="3" t="n">
        <v>0</v>
      </c>
      <c r="Q33" s="3" t="n">
        <v>0.783240476900221</v>
      </c>
      <c r="R33" s="3" t="n">
        <v>0.00195396496816411</v>
      </c>
      <c r="S33" s="3" t="n">
        <v>0.166535629734027</v>
      </c>
      <c r="T33" s="3" t="n">
        <v>0</v>
      </c>
      <c r="U33" s="3" t="n">
        <v>0.432133483500946</v>
      </c>
      <c r="V33" s="3" t="n">
        <v>5.31217313395331E-005</v>
      </c>
      <c r="W33" s="3" t="n">
        <v>3.80269888139833E-005</v>
      </c>
      <c r="X33" s="3" t="n">
        <v>0.0136575161767935</v>
      </c>
      <c r="Y33" s="3" t="n">
        <v>1.92748468033328E-005</v>
      </c>
      <c r="Z33" s="3" t="n">
        <v>0.016622494628127</v>
      </c>
      <c r="AA33" s="3" t="n">
        <v>1.2044962535486E-005</v>
      </c>
      <c r="AB33" s="3" t="n">
        <v>0.01908051771842</v>
      </c>
      <c r="AC33" s="3" t="n">
        <v>0.977928174539778</v>
      </c>
      <c r="AD33" s="3" t="n">
        <v>0.599548064234047</v>
      </c>
      <c r="AE33" s="3" t="n">
        <v>0.277759084554398</v>
      </c>
      <c r="AF33" s="3" t="n">
        <v>0.0514686934509254</v>
      </c>
      <c r="AG33" s="3" t="n">
        <v>9.62077183174052E-005</v>
      </c>
      <c r="AH33" s="3" t="n">
        <v>0.0275563828432888</v>
      </c>
      <c r="AI33" s="3" t="n">
        <v>1.19710318661457E-006</v>
      </c>
      <c r="AJ33" s="3" t="n">
        <v>0.0501977772381954</v>
      </c>
      <c r="AK33" s="3" t="n">
        <v>0.00152428559282955</v>
      </c>
      <c r="AL33" s="3" t="n">
        <v>0.000448996878844895</v>
      </c>
      <c r="AM33" s="3" t="n">
        <v>0.00300834676824669</v>
      </c>
      <c r="AN33" s="3" t="n">
        <v>6.36025295779927E-005</v>
      </c>
      <c r="AO33" s="3" t="n">
        <v>0.00159935816496818</v>
      </c>
      <c r="AP33" s="3" t="n">
        <v>5.94914359388186E-005</v>
      </c>
      <c r="AQ33" s="3" t="n">
        <v>0.000567101266720708</v>
      </c>
      <c r="AR33" s="3" t="n">
        <v>2.56369904810163</v>
      </c>
      <c r="AS33" s="3" t="n">
        <v>0.204434247614116</v>
      </c>
      <c r="AT33" s="3" t="n">
        <v>0.150901008884954</v>
      </c>
      <c r="AU33" s="3" t="n">
        <v>4.68813304391171E-006</v>
      </c>
      <c r="AV33" s="3" t="n">
        <v>3.19225839119588E-008</v>
      </c>
      <c r="AW33" s="3" t="n">
        <v>7.50641278006418E-008</v>
      </c>
      <c r="AX33" s="3" t="n">
        <v>1.12225639064117E-007</v>
      </c>
      <c r="AY33" s="3" t="n">
        <v>9.94711490979639E-009</v>
      </c>
      <c r="AZ33" s="3" t="n">
        <v>1.32972583583747E-007</v>
      </c>
      <c r="BA33" s="3" t="n">
        <v>0.000111449821792437</v>
      </c>
      <c r="BB33" s="3" t="n">
        <v>5.2424081041635E-006</v>
      </c>
      <c r="BC33" s="3" t="n">
        <v>7.36417267792252E-005</v>
      </c>
      <c r="BD33" s="3" t="n">
        <v>6.28003766083325E-006</v>
      </c>
      <c r="BE33" s="3" t="n">
        <v>2.54111503009535E-008</v>
      </c>
      <c r="BF33" s="3" t="n">
        <v>5.2547979062698E-006</v>
      </c>
      <c r="BG33" s="3" t="n">
        <v>2.98932455184235E-006</v>
      </c>
      <c r="BH33" s="3" t="n">
        <v>7.37171689010528E-007</v>
      </c>
      <c r="BI33" s="3" t="n">
        <v>0.000359848213805172</v>
      </c>
      <c r="BJ33" s="3" t="n">
        <v>0.000996529290384854</v>
      </c>
      <c r="BK33" s="3" t="n">
        <v>0.00022646513384444</v>
      </c>
      <c r="BL33" s="3" t="n">
        <v>0.115362338824208</v>
      </c>
      <c r="BM33" s="3" t="n">
        <v>0.0357169380787034</v>
      </c>
      <c r="BN33" s="3" t="n">
        <v>0</v>
      </c>
      <c r="BO33" s="3" t="n">
        <v>0</v>
      </c>
      <c r="BP33" s="3" t="n">
        <v>2.17112593449792</v>
      </c>
      <c r="BQ33" s="3" t="n">
        <v>0.203356578233503</v>
      </c>
      <c r="BR33" s="3" t="n">
        <v>0</v>
      </c>
      <c r="BS33" s="169"/>
      <c r="BT33" s="169"/>
      <c r="BU33" s="169"/>
      <c r="BV33" s="169"/>
      <c r="BW33" s="169"/>
      <c r="BX33" s="169"/>
      <c r="BY33" s="169"/>
    </row>
    <row r="34" customFormat="false" ht="12.75" hidden="true" customHeight="false" outlineLevel="0" collapsed="false">
      <c r="A34" s="3" t="n">
        <v>3</v>
      </c>
      <c r="B34" s="3" t="n">
        <v>3.1</v>
      </c>
      <c r="C34" s="3" t="s">
        <v>254</v>
      </c>
      <c r="D34" s="3" t="s">
        <v>245</v>
      </c>
      <c r="E34" s="3" t="n">
        <v>0.0376404028070651</v>
      </c>
      <c r="F34" s="3" t="n">
        <v>0.00440686348716317</v>
      </c>
      <c r="G34" s="3" t="n">
        <v>0.0102180876880702</v>
      </c>
      <c r="H34" s="3" t="n">
        <v>0.036580770169746</v>
      </c>
      <c r="I34" s="3" t="n">
        <v>0.012334503459553</v>
      </c>
      <c r="J34" s="3" t="n">
        <v>0.0385249261656907</v>
      </c>
      <c r="K34" s="3" t="n">
        <v>0.0951355964979091</v>
      </c>
      <c r="L34" s="168" t="n">
        <v>3.84926820292691E-015</v>
      </c>
      <c r="M34" s="3" t="n">
        <v>0.150540066446774</v>
      </c>
      <c r="N34" s="3" t="n">
        <v>0</v>
      </c>
      <c r="O34" s="3" t="n">
        <v>0.0818650923466594</v>
      </c>
      <c r="P34" s="3" t="n">
        <v>0</v>
      </c>
      <c r="Q34" s="3" t="n">
        <v>0.147294362828356</v>
      </c>
      <c r="R34" s="168" t="n">
        <v>1.45164994607753E-014</v>
      </c>
      <c r="S34" s="3" t="n">
        <v>0.0914619442798403</v>
      </c>
      <c r="T34" s="3" t="n">
        <v>0</v>
      </c>
      <c r="U34" s="3" t="n">
        <v>0.167321895307441</v>
      </c>
      <c r="V34" s="3" t="n">
        <v>0</v>
      </c>
      <c r="W34" s="168" t="n">
        <v>0.000280805375578222</v>
      </c>
      <c r="X34" s="3" t="n">
        <v>0.00538286013937959</v>
      </c>
      <c r="Y34" s="168" t="n">
        <v>0.000330731362431291</v>
      </c>
      <c r="Z34" s="3" t="n">
        <v>0.0103106467636519</v>
      </c>
      <c r="AA34" s="168" t="n">
        <v>0.000244467429607973</v>
      </c>
      <c r="AB34" s="168" t="n">
        <v>0.00892203830746338</v>
      </c>
      <c r="AC34" s="3" t="n">
        <v>0.0296363596239634</v>
      </c>
      <c r="AD34" s="3" t="n">
        <v>0.0138653871204525</v>
      </c>
      <c r="AE34" s="3" t="n">
        <v>0.0059046209556951</v>
      </c>
      <c r="AF34" s="3" t="n">
        <v>0.0372054993500185</v>
      </c>
      <c r="AG34" s="168" t="n">
        <v>7.37756429657336E-018</v>
      </c>
      <c r="AH34" s="3" t="n">
        <v>0.0412899629520249</v>
      </c>
      <c r="AI34" s="3" t="n">
        <v>0</v>
      </c>
      <c r="AJ34" s="3" t="n">
        <v>0.0362844443852705</v>
      </c>
      <c r="AK34" s="168" t="n">
        <v>1.45164994607753E-014</v>
      </c>
      <c r="AL34" s="168" t="n">
        <v>0.000132344468241107</v>
      </c>
      <c r="AM34" s="168" t="n">
        <v>0.0459770779495895</v>
      </c>
      <c r="AN34" s="168" t="n">
        <v>5.90707603874678E-005</v>
      </c>
      <c r="AO34" s="168" t="n">
        <v>0.0183525347534521</v>
      </c>
      <c r="AP34" s="168" t="n">
        <v>5.15016536396939E-005</v>
      </c>
      <c r="AQ34" s="168" t="n">
        <v>0.0156428180478135</v>
      </c>
      <c r="AR34" s="3" t="n">
        <v>0.00225317919754111</v>
      </c>
      <c r="AS34" s="3" t="n">
        <v>0.00293153586036051</v>
      </c>
      <c r="AT34" s="3" t="n">
        <v>0.000889187517759381</v>
      </c>
      <c r="AU34" s="168" t="n">
        <v>0.000325802821137727</v>
      </c>
      <c r="AV34" s="168" t="n">
        <v>0.000611616531374061</v>
      </c>
      <c r="AW34" s="168" t="n">
        <v>0.000388822588265798</v>
      </c>
      <c r="AX34" s="168" t="n">
        <v>0.000178488899121133</v>
      </c>
      <c r="AY34" s="168" t="n">
        <v>0.000213603816963949</v>
      </c>
      <c r="AZ34" s="168" t="n">
        <v>0.000207717178745359</v>
      </c>
      <c r="BA34" s="3" t="n">
        <v>0.00433593348624447</v>
      </c>
      <c r="BB34" s="3" t="n">
        <v>0.00517326746157059</v>
      </c>
      <c r="BC34" s="3" t="n">
        <v>0.00503119277011438</v>
      </c>
      <c r="BD34" s="168" t="n">
        <v>5.28238246372202E-005</v>
      </c>
      <c r="BE34" s="168" t="n">
        <v>4.8589274626013E-005</v>
      </c>
      <c r="BF34" s="168" t="n">
        <v>5.60829587392077E-005</v>
      </c>
      <c r="BG34" s="168" t="n">
        <v>9.86166855733838E-005</v>
      </c>
      <c r="BH34" s="168" t="n">
        <v>8.07160040101068E-005</v>
      </c>
      <c r="BI34" s="168" t="n">
        <v>8.1297781841305E-005</v>
      </c>
      <c r="BJ34" s="168" t="n">
        <v>0.00187225928478554</v>
      </c>
      <c r="BK34" s="168" t="n">
        <v>0.00150097112178173</v>
      </c>
      <c r="BL34" s="3" t="n">
        <v>0.00152033411047928</v>
      </c>
      <c r="BM34" s="3" t="n">
        <v>0</v>
      </c>
      <c r="BN34" s="3" t="n">
        <v>0</v>
      </c>
      <c r="BO34" s="3" t="n">
        <v>0</v>
      </c>
      <c r="BP34" s="3" t="n">
        <v>0</v>
      </c>
      <c r="BQ34" s="3" t="n">
        <v>0</v>
      </c>
      <c r="BR34" s="3" t="n">
        <v>0</v>
      </c>
      <c r="BS34" s="169"/>
      <c r="BT34" s="169"/>
      <c r="BU34" s="169"/>
      <c r="BV34" s="169"/>
      <c r="BW34" s="169"/>
      <c r="BX34" s="169"/>
      <c r="BY34" s="169"/>
    </row>
    <row r="35" customFormat="false" ht="12.75" hidden="true" customHeight="false" outlineLevel="0" collapsed="false">
      <c r="A35" s="3" t="n">
        <v>3</v>
      </c>
      <c r="B35" s="3" t="n">
        <v>3.1</v>
      </c>
      <c r="C35" s="3" t="s">
        <v>255</v>
      </c>
      <c r="D35" s="3" t="s">
        <v>245</v>
      </c>
      <c r="E35" s="3" t="n">
        <v>0.0856846354364897</v>
      </c>
      <c r="F35" s="3" t="n">
        <v>0.00691364223663847</v>
      </c>
      <c r="G35" s="3" t="n">
        <v>0.0070315662970817</v>
      </c>
      <c r="H35" s="3" t="n">
        <v>0.0861687794482569</v>
      </c>
      <c r="I35" s="3" t="n">
        <v>0.00992497238208399</v>
      </c>
      <c r="J35" s="3" t="n">
        <v>0.0845762594923279</v>
      </c>
      <c r="K35" s="3" t="n">
        <v>0.141496684426255</v>
      </c>
      <c r="L35" s="168" t="n">
        <v>3.62912486519383E-015</v>
      </c>
      <c r="M35" s="3" t="n">
        <v>0.276145651292084</v>
      </c>
      <c r="N35" s="3" t="n">
        <v>0</v>
      </c>
      <c r="O35" s="3" t="n">
        <v>0.190075789321601</v>
      </c>
      <c r="P35" s="3" t="n">
        <v>0</v>
      </c>
      <c r="Q35" s="3" t="n">
        <v>0.351082030984846</v>
      </c>
      <c r="R35" s="168" t="n">
        <v>8.3811048713697E-015</v>
      </c>
      <c r="S35" s="3" t="n">
        <v>0.182770283505305</v>
      </c>
      <c r="T35" s="3" t="n">
        <v>0</v>
      </c>
      <c r="U35" s="3" t="n">
        <v>0.263016438664905</v>
      </c>
      <c r="V35" s="3" t="n">
        <v>0</v>
      </c>
      <c r="W35" s="168" t="n">
        <v>0.000455939774700136</v>
      </c>
      <c r="X35" s="3" t="n">
        <v>0.00535055511984843</v>
      </c>
      <c r="Y35" s="168" t="n">
        <v>0.000675899954759194</v>
      </c>
      <c r="Z35" s="3" t="n">
        <v>0.0136858517429</v>
      </c>
      <c r="AA35" s="168" t="n">
        <v>0.000492970733445768</v>
      </c>
      <c r="AB35" s="3" t="n">
        <v>0.0147111747724505</v>
      </c>
      <c r="AC35" s="3" t="n">
        <v>0.051989392887995</v>
      </c>
      <c r="AD35" s="3" t="n">
        <v>0.0397247382456875</v>
      </c>
      <c r="AE35" s="3" t="n">
        <v>0.00668210495993947</v>
      </c>
      <c r="AF35" s="3" t="n">
        <v>0.0691528612169661</v>
      </c>
      <c r="AG35" s="168" t="n">
        <v>1.04334514854935E-017</v>
      </c>
      <c r="AH35" s="3" t="n">
        <v>0.0659780102146471</v>
      </c>
      <c r="AI35" s="3" t="n">
        <v>0</v>
      </c>
      <c r="AJ35" s="3" t="n">
        <v>0.0880720672912642</v>
      </c>
      <c r="AK35" s="168" t="n">
        <v>1.45164994607753E-014</v>
      </c>
      <c r="AL35" s="168" t="n">
        <v>0.000137155279170748</v>
      </c>
      <c r="AM35" s="168" t="n">
        <v>0.0407568263098357</v>
      </c>
      <c r="AN35" s="168" t="n">
        <v>0.000719961315625466</v>
      </c>
      <c r="AO35" s="168" t="n">
        <v>0.145301580550468</v>
      </c>
      <c r="AP35" s="168" t="n">
        <v>0.000866781957255888</v>
      </c>
      <c r="AQ35" s="168" t="n">
        <v>0.217977083939179</v>
      </c>
      <c r="AR35" s="3" t="n">
        <v>0.00297174084567283</v>
      </c>
      <c r="AS35" s="168" t="n">
        <v>0.00324419966217302</v>
      </c>
      <c r="AT35" s="168" t="n">
        <v>0.00355536944536619</v>
      </c>
      <c r="AU35" s="168" t="n">
        <v>0.000293355912339358</v>
      </c>
      <c r="AV35" s="168" t="n">
        <v>0.000607517930313131</v>
      </c>
      <c r="AW35" s="168" t="n">
        <v>0.00073042821106681</v>
      </c>
      <c r="AX35" s="168" t="n">
        <v>0.000173134890866553</v>
      </c>
      <c r="AY35" s="168" t="n">
        <v>0.000154384596519222</v>
      </c>
      <c r="AZ35" s="168" t="n">
        <v>0.000153995642449203</v>
      </c>
      <c r="BA35" s="168" t="n">
        <v>0.00420180333159026</v>
      </c>
      <c r="BB35" s="168" t="n">
        <v>0.00373914832055319</v>
      </c>
      <c r="BC35" s="168" t="n">
        <v>0.00371479338864113</v>
      </c>
      <c r="BD35" s="168" t="n">
        <v>4.11401202329072E-005</v>
      </c>
      <c r="BE35" s="168" t="n">
        <v>4.91671829983691E-005</v>
      </c>
      <c r="BF35" s="168" t="n">
        <v>4.89368359526835E-005</v>
      </c>
      <c r="BG35" s="168" t="n">
        <v>8.03777677133619E-005</v>
      </c>
      <c r="BH35" s="168" t="n">
        <v>9.11152776418891E-005</v>
      </c>
      <c r="BI35" s="168" t="n">
        <v>0.000135172438925719</v>
      </c>
      <c r="BJ35" s="168" t="n">
        <v>0.00152600290019003</v>
      </c>
      <c r="BK35" s="168" t="n">
        <v>0.00169429939435578</v>
      </c>
      <c r="BL35" s="168" t="n">
        <v>0.00252742872127859</v>
      </c>
      <c r="BM35" s="3" t="n">
        <v>0</v>
      </c>
      <c r="BN35" s="3" t="n">
        <v>0</v>
      </c>
      <c r="BO35" s="3" t="n">
        <v>0</v>
      </c>
      <c r="BP35" s="3" t="n">
        <v>0</v>
      </c>
      <c r="BQ35" s="3" t="n">
        <v>0</v>
      </c>
      <c r="BR35" s="3" t="n">
        <v>0</v>
      </c>
      <c r="BS35" s="169"/>
      <c r="BT35" s="169"/>
      <c r="BU35" s="169"/>
      <c r="BV35" s="169"/>
      <c r="BW35" s="169"/>
      <c r="BX35" s="169"/>
      <c r="BY35" s="169"/>
    </row>
    <row r="36" customFormat="false" ht="12.75" hidden="true" customHeight="false" outlineLevel="0" collapsed="false">
      <c r="A36" s="3" t="n">
        <v>3</v>
      </c>
      <c r="B36" s="3" t="n">
        <v>3.1</v>
      </c>
      <c r="C36" s="3" t="s">
        <v>256</v>
      </c>
      <c r="D36" s="3" t="s">
        <v>245</v>
      </c>
      <c r="E36" s="3" t="n">
        <v>0.0324946913362181</v>
      </c>
      <c r="F36" s="3" t="n">
        <v>0.00454714181149435</v>
      </c>
      <c r="G36" s="3" t="n">
        <v>0.00791539926505601</v>
      </c>
      <c r="H36" s="3" t="n">
        <v>0.0330335329735927</v>
      </c>
      <c r="I36" s="3" t="n">
        <v>0.00850723784669218</v>
      </c>
      <c r="J36" s="3" t="n">
        <v>0.0364987337211428</v>
      </c>
      <c r="K36" s="3" t="n">
        <v>0.0855752488088517</v>
      </c>
      <c r="L36" s="168" t="n">
        <v>3.62912486519383E-015</v>
      </c>
      <c r="M36" s="3" t="n">
        <v>0.138200096006599</v>
      </c>
      <c r="N36" s="3" t="n">
        <v>0</v>
      </c>
      <c r="O36" s="3" t="n">
        <v>0.0723356367712511</v>
      </c>
      <c r="P36" s="3" t="n">
        <v>0</v>
      </c>
      <c r="Q36" s="3" t="n">
        <v>0.120002525960722</v>
      </c>
      <c r="R36" s="168" t="n">
        <v>5.92633608838112E-015</v>
      </c>
      <c r="S36" s="3" t="n">
        <v>0.0779736680190631</v>
      </c>
      <c r="T36" s="3" t="n">
        <v>0</v>
      </c>
      <c r="U36" s="3" t="n">
        <v>0.149712526614695</v>
      </c>
      <c r="V36" s="3" t="n">
        <v>0</v>
      </c>
      <c r="W36" s="168" t="n">
        <v>0.000282525209308708</v>
      </c>
      <c r="X36" s="3" t="n">
        <v>0.00753095339964738</v>
      </c>
      <c r="Y36" s="168" t="n">
        <v>0.000325615153894364</v>
      </c>
      <c r="Z36" s="3" t="n">
        <v>0.0109009211762189</v>
      </c>
      <c r="AA36" s="168" t="n">
        <v>0.000226900613368723</v>
      </c>
      <c r="AB36" s="3" t="n">
        <v>0.0107045861105921</v>
      </c>
      <c r="AC36" s="3" t="n">
        <v>0.0300610741623963</v>
      </c>
      <c r="AD36" s="3" t="n">
        <v>0.0100918884344759</v>
      </c>
      <c r="AE36" s="3" t="n">
        <v>0.00782482749867709</v>
      </c>
      <c r="AF36" s="3" t="n">
        <v>0.0341398117613689</v>
      </c>
      <c r="AG36" s="168" t="n">
        <v>1.00241359451221E-017</v>
      </c>
      <c r="AH36" s="3" t="n">
        <v>0.0374559585921654</v>
      </c>
      <c r="AI36" s="3" t="n">
        <v>0</v>
      </c>
      <c r="AJ36" s="3" t="n">
        <v>0.0294617038454723</v>
      </c>
      <c r="AK36" s="168" t="n">
        <v>1.45164994607753E-014</v>
      </c>
      <c r="AL36" s="168" t="n">
        <v>0.000467945367969743</v>
      </c>
      <c r="AM36" s="168" t="n">
        <v>0.163768438821437</v>
      </c>
      <c r="AN36" s="168" t="n">
        <v>9.84082967362089E-005</v>
      </c>
      <c r="AO36" s="3" t="n">
        <v>0.0269387700368057</v>
      </c>
      <c r="AP36" s="168" t="n">
        <v>7.6727855183202E-005</v>
      </c>
      <c r="AQ36" s="168" t="n">
        <v>0.0215695301186424</v>
      </c>
      <c r="AR36" s="3" t="n">
        <v>0.00158279234559533</v>
      </c>
      <c r="AS36" s="3" t="n">
        <v>0.00313887129218656</v>
      </c>
      <c r="AT36" s="3" t="n">
        <v>0.00160472619245574</v>
      </c>
      <c r="AU36" s="168" t="n">
        <v>0.000320504886010632</v>
      </c>
      <c r="AV36" s="168" t="n">
        <v>0.000585630067174642</v>
      </c>
      <c r="AW36" s="168" t="n">
        <v>0.000821886395363938</v>
      </c>
      <c r="AX36" s="168" t="n">
        <v>0.000194820006338335</v>
      </c>
      <c r="AY36" s="168" t="n">
        <v>0.000228345836533206</v>
      </c>
      <c r="AZ36" s="168" t="n">
        <v>0.000153522233937305</v>
      </c>
      <c r="BA36" s="3" t="n">
        <v>0.00472366857166826</v>
      </c>
      <c r="BB36" s="168" t="n">
        <v>0.00553103986585632</v>
      </c>
      <c r="BC36" s="168" t="n">
        <v>0.00371220704588533</v>
      </c>
      <c r="BD36" s="168" t="n">
        <v>3.66689972906096E-005</v>
      </c>
      <c r="BE36" s="168" t="n">
        <v>4.50295716034666E-005</v>
      </c>
      <c r="BF36" s="168" t="n">
        <v>5.66449506554681E-005</v>
      </c>
      <c r="BG36" s="168" t="n">
        <v>9.41211161839927E-005</v>
      </c>
      <c r="BH36" s="168" t="n">
        <v>7.672215261687E-005</v>
      </c>
      <c r="BI36" s="168" t="n">
        <v>0.000148694180415294</v>
      </c>
      <c r="BJ36" s="168" t="n">
        <v>0.00178692500052376</v>
      </c>
      <c r="BK36" s="168" t="n">
        <v>0.00142658785687818</v>
      </c>
      <c r="BL36" s="3" t="n">
        <v>0.00278029541555515</v>
      </c>
      <c r="BM36" s="3" t="n">
        <v>0</v>
      </c>
      <c r="BN36" s="3" t="n">
        <v>0</v>
      </c>
      <c r="BO36" s="3" t="n">
        <v>0</v>
      </c>
      <c r="BP36" s="3" t="n">
        <v>0</v>
      </c>
      <c r="BQ36" s="3" t="n">
        <v>0</v>
      </c>
      <c r="BR36" s="3" t="n">
        <v>0</v>
      </c>
      <c r="BS36" s="169"/>
      <c r="BT36" s="169"/>
      <c r="BU36" s="169"/>
      <c r="BV36" s="169"/>
      <c r="BW36" s="169"/>
      <c r="BX36" s="169"/>
      <c r="BY36" s="169"/>
    </row>
    <row r="37" customFormat="false" ht="12.75" hidden="true" customHeight="false" outlineLevel="0" collapsed="false">
      <c r="A37" s="3" t="n">
        <v>3</v>
      </c>
      <c r="B37" s="3" t="n">
        <v>3.2</v>
      </c>
      <c r="C37" s="3" t="s">
        <v>257</v>
      </c>
      <c r="D37" s="3" t="s">
        <v>245</v>
      </c>
      <c r="E37" s="3" t="n">
        <v>0.287423206438302</v>
      </c>
      <c r="F37" s="3" t="n">
        <v>0.279234986263584</v>
      </c>
      <c r="G37" s="3" t="n">
        <v>0.404893262734122</v>
      </c>
      <c r="H37" s="3" t="n">
        <v>0.0312448167411623</v>
      </c>
      <c r="I37" s="3" t="n">
        <v>0.132667465559796</v>
      </c>
      <c r="J37" s="3" t="n">
        <v>0.124794852281902</v>
      </c>
      <c r="K37" s="3" t="n">
        <v>0.0814926160254182</v>
      </c>
      <c r="L37" s="168" t="n">
        <v>4.85769807173895E-015</v>
      </c>
      <c r="M37" s="3" t="n">
        <v>0.133283204457947</v>
      </c>
      <c r="N37" s="3" t="n">
        <v>0</v>
      </c>
      <c r="O37" s="3" t="n">
        <v>0.0789592337259042</v>
      </c>
      <c r="P37" s="3" t="n">
        <v>0</v>
      </c>
      <c r="Q37" s="3" t="n">
        <v>0.129091608276982</v>
      </c>
      <c r="R37" s="168" t="n">
        <v>1.18526721767622E-014</v>
      </c>
      <c r="S37" s="3" t="n">
        <v>0.0646618227473863</v>
      </c>
      <c r="T37" s="3" t="n">
        <v>0</v>
      </c>
      <c r="U37" s="3" t="n">
        <v>0.129436781276036</v>
      </c>
      <c r="V37" s="3" t="n">
        <v>0</v>
      </c>
      <c r="W37" s="168" t="n">
        <v>0.00057982720799177</v>
      </c>
      <c r="X37" s="3" t="n">
        <v>0.0432910151913124</v>
      </c>
      <c r="Y37" s="168" t="n">
        <v>0.000593751012306088</v>
      </c>
      <c r="Z37" s="3" t="n">
        <v>0.0579186654753838</v>
      </c>
      <c r="AA37" s="168" t="n">
        <v>0.000398722827032893</v>
      </c>
      <c r="AB37" s="3" t="n">
        <v>0.0460232921412783</v>
      </c>
      <c r="AC37" s="3" t="n">
        <v>0.101086523991124</v>
      </c>
      <c r="AD37" s="3" t="n">
        <v>0.0925555810099344</v>
      </c>
      <c r="AE37" s="3" t="n">
        <v>0.120721931724419</v>
      </c>
      <c r="AF37" s="3" t="n">
        <v>0.0330752429745575</v>
      </c>
      <c r="AG37" s="168" t="n">
        <v>8.68115637946454E-018</v>
      </c>
      <c r="AH37" s="3" t="n">
        <v>0.0320603132584803</v>
      </c>
      <c r="AI37" s="3" t="n">
        <v>0</v>
      </c>
      <c r="AJ37" s="3" t="n">
        <v>0.0322314279520165</v>
      </c>
      <c r="AK37" s="168" t="n">
        <v>1.45164994607753E-014</v>
      </c>
      <c r="AL37" s="168" t="n">
        <v>0.00244887563475423</v>
      </c>
      <c r="AM37" s="3" t="n">
        <v>0.0275718252265565</v>
      </c>
      <c r="AN37" s="168" t="n">
        <v>0.000913380636879354</v>
      </c>
      <c r="AO37" s="3" t="n">
        <v>0.0355497104662977</v>
      </c>
      <c r="AP37" s="168" t="n">
        <v>0.00110875118613398</v>
      </c>
      <c r="AQ37" s="3" t="n">
        <v>0.0274216046144798</v>
      </c>
      <c r="AR37" s="3" t="n">
        <v>0.07921800613277</v>
      </c>
      <c r="AS37" s="3" t="n">
        <v>0.098039245376829</v>
      </c>
      <c r="AT37" s="168" t="n">
        <v>0.110082766856108</v>
      </c>
      <c r="AU37" s="168" t="n">
        <v>0.0021342333937644</v>
      </c>
      <c r="AV37" s="168" t="n">
        <v>0.00240158487326099</v>
      </c>
      <c r="AW37" s="168" t="n">
        <v>0.00336946886975847</v>
      </c>
      <c r="AX37" s="168" t="n">
        <v>0.00576383465016154</v>
      </c>
      <c r="AY37" s="168" t="n">
        <v>0.00559006622310485</v>
      </c>
      <c r="AZ37" s="168" t="n">
        <v>0.00650973179878378</v>
      </c>
      <c r="BA37" s="3" t="n">
        <v>0.137041987599025</v>
      </c>
      <c r="BB37" s="3" t="n">
        <v>0.132067898873197</v>
      </c>
      <c r="BC37" s="3" t="n">
        <v>0.153555262708301</v>
      </c>
      <c r="BD37" s="168" t="n">
        <v>0.00110819155772907</v>
      </c>
      <c r="BE37" s="168" t="n">
        <v>0.000338773493544632</v>
      </c>
      <c r="BF37" s="168" t="n">
        <v>0.00512160241647013</v>
      </c>
      <c r="BG37" s="168" t="n">
        <v>0.000282831547229049</v>
      </c>
      <c r="BH37" s="168" t="n">
        <v>0.000406649370041536</v>
      </c>
      <c r="BI37" s="168" t="n">
        <v>0.00219156953981974</v>
      </c>
      <c r="BJ37" s="3" t="n">
        <v>0.00833947716946595</v>
      </c>
      <c r="BK37" s="3" t="n">
        <v>0.00764617422399173</v>
      </c>
      <c r="BL37" s="3" t="n">
        <v>0.0457764436213003</v>
      </c>
      <c r="BM37" s="3" t="n">
        <v>0</v>
      </c>
      <c r="BN37" s="3" t="n">
        <v>0</v>
      </c>
      <c r="BO37" s="3" t="n">
        <v>0</v>
      </c>
      <c r="BP37" s="3" t="n">
        <v>0</v>
      </c>
      <c r="BQ37" s="3" t="n">
        <v>0</v>
      </c>
      <c r="BR37" s="3" t="n">
        <v>0</v>
      </c>
      <c r="BS37" s="169"/>
      <c r="BT37" s="169"/>
      <c r="BU37" s="169"/>
      <c r="BV37" s="169"/>
      <c r="BW37" s="169"/>
      <c r="BX37" s="169"/>
      <c r="BY37" s="169"/>
    </row>
    <row r="38" customFormat="false" ht="12.75" hidden="true" customHeight="false" outlineLevel="0" collapsed="false">
      <c r="A38" s="3" t="n">
        <v>3</v>
      </c>
      <c r="B38" s="3" t="n">
        <v>3.2</v>
      </c>
      <c r="C38" s="3" t="s">
        <v>258</v>
      </c>
      <c r="D38" s="3" t="s">
        <v>245</v>
      </c>
      <c r="E38" s="3" t="n">
        <v>0.0645289570994998</v>
      </c>
      <c r="F38" s="3" t="n">
        <v>0.0502243858937736</v>
      </c>
      <c r="G38" s="3" t="n">
        <v>0.0622297832056982</v>
      </c>
      <c r="H38" s="3" t="n">
        <v>0.0350397642334679</v>
      </c>
      <c r="I38" s="3" t="n">
        <v>0.0718028021989328</v>
      </c>
      <c r="J38" s="3" t="n">
        <v>0.0817780576298571</v>
      </c>
      <c r="K38" s="3" t="n">
        <v>0.078896397063274</v>
      </c>
      <c r="L38" s="168" t="n">
        <v>3.84926820292691E-015</v>
      </c>
      <c r="M38" s="3" t="n">
        <v>0.13800176455237</v>
      </c>
      <c r="N38" s="3" t="n">
        <v>0</v>
      </c>
      <c r="O38" s="3" t="n">
        <v>0.0810206907506317</v>
      </c>
      <c r="P38" s="3" t="n">
        <v>0</v>
      </c>
      <c r="Q38" s="3" t="n">
        <v>0.147964166392511</v>
      </c>
      <c r="R38" s="168" t="n">
        <v>1.45164994607753E-014</v>
      </c>
      <c r="S38" s="3" t="n">
        <v>0.0841212480654423</v>
      </c>
      <c r="T38" s="3" t="n">
        <v>0</v>
      </c>
      <c r="U38" s="3" t="n">
        <v>0.136597009895242</v>
      </c>
      <c r="V38" s="3" t="n">
        <v>0</v>
      </c>
      <c r="W38" s="168" t="n">
        <v>0.000512385700125152</v>
      </c>
      <c r="X38" s="3" t="n">
        <v>0.0323876585566912</v>
      </c>
      <c r="Y38" s="168" t="n">
        <v>0.00027078057890134</v>
      </c>
      <c r="Z38" s="3" t="n">
        <v>0.0391967657933171</v>
      </c>
      <c r="AA38" s="168" t="n">
        <v>0.00028985153675031</v>
      </c>
      <c r="AB38" s="3" t="n">
        <v>0.0292800354230576</v>
      </c>
      <c r="AC38" s="3" t="n">
        <v>0.0626465951513536</v>
      </c>
      <c r="AD38" s="3" t="n">
        <v>0.0478983339700024</v>
      </c>
      <c r="AE38" s="3" t="n">
        <v>0.0417040058549279</v>
      </c>
      <c r="AF38" s="3" t="n">
        <v>0.0346441224912475</v>
      </c>
      <c r="AG38" s="168" t="n">
        <v>8.68115637946454E-018</v>
      </c>
      <c r="AH38" s="3" t="n">
        <v>0.0344097311712161</v>
      </c>
      <c r="AI38" s="3" t="n">
        <v>0</v>
      </c>
      <c r="AJ38" s="3" t="n">
        <v>0.0373637151641708</v>
      </c>
      <c r="AK38" s="168" t="n">
        <v>5.92633608838112E-015</v>
      </c>
      <c r="AL38" s="168" t="n">
        <v>0.0015912076783538</v>
      </c>
      <c r="AM38" s="3" t="n">
        <v>0.0261207938437055</v>
      </c>
      <c r="AN38" s="168" t="n">
        <v>0.00171402971910379</v>
      </c>
      <c r="AO38" s="3" t="n">
        <v>0.023918212093407</v>
      </c>
      <c r="AP38" s="168" t="n">
        <v>0.00188663688339397</v>
      </c>
      <c r="AQ38" s="3" t="n">
        <v>0.0196025164415007</v>
      </c>
      <c r="AR38" s="3" t="n">
        <v>0.040280746209791</v>
      </c>
      <c r="AS38" s="3" t="n">
        <v>0.0432106637318267</v>
      </c>
      <c r="AT38" s="3" t="n">
        <v>0.0827907879379774</v>
      </c>
      <c r="AU38" s="168" t="n">
        <v>0.0015005083837753</v>
      </c>
      <c r="AV38" s="168" t="n">
        <v>0.00180755623207154</v>
      </c>
      <c r="AW38" s="168" t="n">
        <v>0.00287399937539673</v>
      </c>
      <c r="AX38" s="168" t="n">
        <v>0.00225428238367832</v>
      </c>
      <c r="AY38" s="168" t="n">
        <v>0.00213440964401634</v>
      </c>
      <c r="AZ38" s="168" t="n">
        <v>0.00195758665784196</v>
      </c>
      <c r="BA38" s="3" t="n">
        <v>0.0532169872899217</v>
      </c>
      <c r="BB38" s="3" t="n">
        <v>0.0493307112116587</v>
      </c>
      <c r="BC38" s="3" t="n">
        <v>0.044032875673184</v>
      </c>
      <c r="BD38" s="168" t="n">
        <v>0.000759066415102451</v>
      </c>
      <c r="BE38" s="168" t="n">
        <v>0.000497299515208067</v>
      </c>
      <c r="BF38" s="168" t="n">
        <v>0.00175056475152305</v>
      </c>
      <c r="BG38" s="168" t="n">
        <v>0.00055748468462551</v>
      </c>
      <c r="BH38" s="168" t="n">
        <v>0.000363668930926913</v>
      </c>
      <c r="BI38" s="168" t="n">
        <v>0.00510636366683687</v>
      </c>
      <c r="BJ38" s="3" t="n">
        <v>0.0122751116274921</v>
      </c>
      <c r="BK38" s="3" t="n">
        <v>0.0077884526464435</v>
      </c>
      <c r="BL38" s="3" t="n">
        <v>0.0870281877977819</v>
      </c>
      <c r="BM38" s="3" t="n">
        <v>0</v>
      </c>
      <c r="BN38" s="3" t="n">
        <v>0</v>
      </c>
      <c r="BO38" s="3" t="n">
        <v>0</v>
      </c>
      <c r="BP38" s="3" t="n">
        <v>0</v>
      </c>
      <c r="BQ38" s="3" t="n">
        <v>0</v>
      </c>
      <c r="BR38" s="3" t="n">
        <v>0</v>
      </c>
      <c r="BS38" s="169"/>
      <c r="BT38" s="169"/>
      <c r="BU38" s="169"/>
      <c r="BV38" s="169"/>
      <c r="BW38" s="169"/>
      <c r="BX38" s="169"/>
      <c r="BY38" s="169"/>
    </row>
    <row r="39" customFormat="false" ht="12.75" hidden="true" customHeight="false" outlineLevel="0" collapsed="false">
      <c r="A39" s="3" t="n">
        <v>3</v>
      </c>
      <c r="B39" s="3" t="n">
        <v>3.2</v>
      </c>
      <c r="C39" s="3" t="s">
        <v>259</v>
      </c>
      <c r="D39" s="3" t="s">
        <v>245</v>
      </c>
      <c r="E39" s="3" t="n">
        <v>0.0662627554687897</v>
      </c>
      <c r="F39" s="3" t="n">
        <v>0.032726735912376</v>
      </c>
      <c r="G39" s="3" t="n">
        <v>0.0792642450523773</v>
      </c>
      <c r="H39" s="3" t="n">
        <v>0.048214407252026</v>
      </c>
      <c r="I39" s="3" t="n">
        <v>0.0610322959156458</v>
      </c>
      <c r="J39" s="3" t="n">
        <v>0.0672389797702595</v>
      </c>
      <c r="K39" s="3" t="n">
        <v>0.106212205949953</v>
      </c>
      <c r="L39" s="168" t="n">
        <v>3.62912486519383E-015</v>
      </c>
      <c r="M39" s="3" t="n">
        <v>0.185537322461254</v>
      </c>
      <c r="N39" s="3" t="n">
        <v>0</v>
      </c>
      <c r="O39" s="3" t="n">
        <v>0.108435268124307</v>
      </c>
      <c r="P39" s="3" t="n">
        <v>0</v>
      </c>
      <c r="Q39" s="3" t="n">
        <v>0.188060573665496</v>
      </c>
      <c r="R39" s="168" t="n">
        <v>7.25824973038767E-015</v>
      </c>
      <c r="S39" s="3" t="n">
        <v>0.111221643495699</v>
      </c>
      <c r="T39" s="3" t="n">
        <v>0</v>
      </c>
      <c r="U39" s="3" t="n">
        <v>0.190944811117653</v>
      </c>
      <c r="V39" s="3" t="n">
        <v>0</v>
      </c>
      <c r="W39" s="168" t="n">
        <v>0.000374043107753586</v>
      </c>
      <c r="X39" s="3" t="n">
        <v>0.0400561018197638</v>
      </c>
      <c r="Y39" s="168" t="n">
        <v>0.000376961740532592</v>
      </c>
      <c r="Z39" s="3" t="n">
        <v>0.0501087590188562</v>
      </c>
      <c r="AA39" s="168" t="n">
        <v>0.000356368773228815</v>
      </c>
      <c r="AB39" s="3" t="n">
        <v>0.0409949507977467</v>
      </c>
      <c r="AC39" s="3" t="n">
        <v>0.0474799340606724</v>
      </c>
      <c r="AD39" s="3" t="n">
        <v>0.0461175661383114</v>
      </c>
      <c r="AE39" s="3" t="n">
        <v>0.0460211158529158</v>
      </c>
      <c r="AF39" s="3" t="n">
        <v>0.0469294068603135</v>
      </c>
      <c r="AG39" s="168" t="n">
        <v>1.26134277903864E-017</v>
      </c>
      <c r="AH39" s="3" t="n">
        <v>0.0484457437145706</v>
      </c>
      <c r="AI39" s="3" t="n">
        <v>0</v>
      </c>
      <c r="AJ39" s="3" t="n">
        <v>0.0477690666918336</v>
      </c>
      <c r="AK39" s="168" t="n">
        <v>1.18526721767622E-014</v>
      </c>
      <c r="AL39" s="168" t="n">
        <v>0.000996436133449343</v>
      </c>
      <c r="AM39" s="3" t="n">
        <v>0.0234633373622601</v>
      </c>
      <c r="AN39" s="168" t="n">
        <v>0.000989477412650217</v>
      </c>
      <c r="AO39" s="3" t="n">
        <v>0.0151312330496644</v>
      </c>
      <c r="AP39" s="168" t="n">
        <v>0.00110198778064712</v>
      </c>
      <c r="AQ39" s="3" t="n">
        <v>0.0234442485922062</v>
      </c>
      <c r="AR39" s="3" t="n">
        <v>0.0401492342230329</v>
      </c>
      <c r="AS39" s="3" t="n">
        <v>0.0203184691987282</v>
      </c>
      <c r="AT39" s="3" t="n">
        <v>0.029162049179008</v>
      </c>
      <c r="AU39" s="168" t="n">
        <v>0.00115689430401004</v>
      </c>
      <c r="AV39" s="168" t="n">
        <v>0.00144603558708936</v>
      </c>
      <c r="AW39" s="168" t="n">
        <v>0.00244717024916613</v>
      </c>
      <c r="AX39" s="168" t="n">
        <v>0.00113681810197217</v>
      </c>
      <c r="AY39" s="168" t="n">
        <v>0.00105414412368117</v>
      </c>
      <c r="AZ39" s="168" t="n">
        <v>0.00124009487283521</v>
      </c>
      <c r="BA39" s="3" t="n">
        <v>0.0278063940222972</v>
      </c>
      <c r="BB39" s="3" t="n">
        <v>0.0237760016493485</v>
      </c>
      <c r="BC39" s="3" t="n">
        <v>0.0273279045434382</v>
      </c>
      <c r="BD39" s="168" t="n">
        <v>0.0013939869864031</v>
      </c>
      <c r="BE39" s="168" t="n">
        <v>0.000420009518181117</v>
      </c>
      <c r="BF39" s="168" t="n">
        <v>0.00101073651091335</v>
      </c>
      <c r="BG39" s="168" t="n">
        <v>0.000516612922930752</v>
      </c>
      <c r="BH39" s="168" t="n">
        <v>0.0004224331404727</v>
      </c>
      <c r="BI39" s="168" t="n">
        <v>0.00135447874838779</v>
      </c>
      <c r="BJ39" s="3" t="n">
        <v>0.0136583566789862</v>
      </c>
      <c r="BK39" s="3" t="n">
        <v>0.00858692873776044</v>
      </c>
      <c r="BL39" s="3" t="n">
        <v>0.0273928929951607</v>
      </c>
      <c r="BM39" s="3" t="n">
        <v>0</v>
      </c>
      <c r="BN39" s="3" t="n">
        <v>0</v>
      </c>
      <c r="BO39" s="3" t="n">
        <v>0</v>
      </c>
      <c r="BP39" s="3" t="n">
        <v>0</v>
      </c>
      <c r="BQ39" s="3" t="n">
        <v>0</v>
      </c>
      <c r="BR39" s="3" t="n">
        <v>0</v>
      </c>
      <c r="BS39" s="169"/>
      <c r="BT39" s="169"/>
      <c r="BU39" s="169"/>
      <c r="BV39" s="169"/>
      <c r="BW39" s="169"/>
      <c r="BX39" s="169"/>
      <c r="BY39" s="169"/>
    </row>
    <row r="40" customFormat="false" ht="12.75" hidden="true" customHeight="false" outlineLevel="0" collapsed="false">
      <c r="A40" s="3" t="n">
        <v>3</v>
      </c>
      <c r="B40" s="3" t="n">
        <v>3.3</v>
      </c>
      <c r="C40" s="3" t="s">
        <v>260</v>
      </c>
      <c r="D40" s="3" t="s">
        <v>245</v>
      </c>
      <c r="E40" s="3" t="n">
        <v>0.346047816282124</v>
      </c>
      <c r="F40" s="3" t="n">
        <v>0.330889317339987</v>
      </c>
      <c r="G40" s="3" t="n">
        <v>0.278973886329354</v>
      </c>
      <c r="H40" s="3" t="n">
        <v>0.0313331403825239</v>
      </c>
      <c r="I40" s="3" t="n">
        <v>0.155858019087356</v>
      </c>
      <c r="J40" s="3" t="n">
        <v>0.158105532800921</v>
      </c>
      <c r="K40" s="3" t="n">
        <v>0.104895763457372</v>
      </c>
      <c r="L40" s="3" t="n">
        <v>3.62912486519383E-015</v>
      </c>
      <c r="M40" s="3" t="n">
        <v>0.133768771357827</v>
      </c>
      <c r="N40" s="3" t="n">
        <v>0</v>
      </c>
      <c r="O40" s="3" t="n">
        <v>0.0626239301161174</v>
      </c>
      <c r="P40" s="3" t="n">
        <v>0</v>
      </c>
      <c r="Q40" s="3" t="n">
        <v>0.109066246628476</v>
      </c>
      <c r="R40" s="3" t="n">
        <v>5.13235760390255E-015</v>
      </c>
      <c r="S40" s="3" t="n">
        <v>0.0874182644954159</v>
      </c>
      <c r="T40" s="3" t="n">
        <v>0</v>
      </c>
      <c r="U40" s="3" t="n">
        <v>0.194763461931709</v>
      </c>
      <c r="V40" s="3" t="n">
        <v>0</v>
      </c>
      <c r="W40" s="3" t="n">
        <v>0.000622706898507842</v>
      </c>
      <c r="X40" s="3" t="n">
        <v>0.0187991329632725</v>
      </c>
      <c r="Y40" s="3" t="n">
        <v>0.000477152364007822</v>
      </c>
      <c r="Z40" s="3" t="n">
        <v>0.027450114602293</v>
      </c>
      <c r="AA40" s="3" t="n">
        <v>0.000640555041701542</v>
      </c>
      <c r="AB40" s="3" t="n">
        <v>0.0267428307171936</v>
      </c>
      <c r="AC40" s="3" t="n">
        <v>0.14155008121775</v>
      </c>
      <c r="AD40" s="3" t="n">
        <v>0.119255274823332</v>
      </c>
      <c r="AE40" s="3" t="n">
        <v>0.159624696735732</v>
      </c>
      <c r="AF40" s="3" t="n">
        <v>0.0337554281195799</v>
      </c>
      <c r="AG40" s="3" t="n">
        <v>1.18526721767622E-014</v>
      </c>
      <c r="AH40" s="3" t="n">
        <v>0.0493860420050795</v>
      </c>
      <c r="AI40" s="3" t="n">
        <v>2.52268555807729E-017</v>
      </c>
      <c r="AJ40" s="3" t="n">
        <v>0.0275079488775392</v>
      </c>
      <c r="AK40" s="3" t="n">
        <v>0</v>
      </c>
      <c r="AL40" s="3" t="n">
        <v>0.0018660401616599</v>
      </c>
      <c r="AM40" s="3" t="n">
        <v>0.0289680901541101</v>
      </c>
      <c r="AN40" s="3" t="n">
        <v>0.00296497845552701</v>
      </c>
      <c r="AO40" s="3" t="n">
        <v>0.0209484343812739</v>
      </c>
      <c r="AP40" s="3" t="n">
        <v>0.00233578782375641</v>
      </c>
      <c r="AQ40" s="3" t="n">
        <v>0.0281863066293819</v>
      </c>
      <c r="AR40" s="3" t="n">
        <v>0.100151788941891</v>
      </c>
      <c r="AS40" s="3" t="n">
        <v>0.232603128986895</v>
      </c>
      <c r="AT40" s="3" t="n">
        <v>0.182777158881232</v>
      </c>
      <c r="AU40" s="3" t="n">
        <v>0.000617141009829988</v>
      </c>
      <c r="AV40" s="3" t="n">
        <v>0.000453633809334616</v>
      </c>
      <c r="AW40" s="3" t="n">
        <v>0.000832979537259967</v>
      </c>
      <c r="AX40" s="3" t="n">
        <v>0.00181871675682547</v>
      </c>
      <c r="AY40" s="3" t="n">
        <v>0.000648847568014024</v>
      </c>
      <c r="AZ40" s="3" t="n">
        <v>0.00112329993016915</v>
      </c>
      <c r="BA40" s="3" t="n">
        <v>0.0431568524595959</v>
      </c>
      <c r="BB40" s="3" t="n">
        <v>0.015244062866887</v>
      </c>
      <c r="BC40" s="3" t="n">
        <v>0.0278998684481623</v>
      </c>
      <c r="BD40" s="3" t="n">
        <v>0.000725163783998575</v>
      </c>
      <c r="BE40" s="3" t="n">
        <v>0.00102500391568701</v>
      </c>
      <c r="BF40" s="3" t="n">
        <v>0.00123294899032921</v>
      </c>
      <c r="BG40" s="3" t="n">
        <v>0.00158762354317335</v>
      </c>
      <c r="BH40" s="3" t="n">
        <v>0.00784621200229465</v>
      </c>
      <c r="BI40" s="3" t="n">
        <v>0.00927766797664108</v>
      </c>
      <c r="BJ40" s="3" t="n">
        <v>0.0275380545259908</v>
      </c>
      <c r="BK40" s="3" t="n">
        <v>0.139216505176131</v>
      </c>
      <c r="BL40" s="3" t="n">
        <v>0.165723237917778</v>
      </c>
      <c r="BM40" s="3" t="n">
        <v>0.0729392172686294</v>
      </c>
      <c r="BN40" s="3" t="n">
        <v>0.0902487347606941</v>
      </c>
      <c r="BO40" s="3" t="n">
        <v>0.0512145909845013</v>
      </c>
      <c r="BP40" s="3" t="n">
        <v>0</v>
      </c>
      <c r="BQ40" s="3" t="n">
        <v>0</v>
      </c>
      <c r="BR40" s="3" t="n">
        <v>0</v>
      </c>
      <c r="BS40" s="169"/>
      <c r="BT40" s="169"/>
      <c r="BU40" s="169"/>
      <c r="BV40" s="169"/>
      <c r="BW40" s="169"/>
      <c r="BX40" s="169"/>
      <c r="BY40" s="169"/>
    </row>
    <row r="41" customFormat="false" ht="12.75" hidden="true" customHeight="false" outlineLevel="0" collapsed="false">
      <c r="A41" s="3" t="n">
        <v>3</v>
      </c>
      <c r="B41" s="3" t="n">
        <v>3.3</v>
      </c>
      <c r="C41" s="3" t="s">
        <v>261</v>
      </c>
      <c r="D41" s="3" t="s">
        <v>245</v>
      </c>
      <c r="E41" s="3" t="n">
        <v>0.248719820431292</v>
      </c>
      <c r="F41" s="3" t="n">
        <v>0.255198472087515</v>
      </c>
      <c r="G41" s="3" t="n">
        <v>0.20349475541575</v>
      </c>
      <c r="H41" s="3" t="n">
        <v>0.0304322019449247</v>
      </c>
      <c r="I41" s="3" t="n">
        <v>0.116470600311839</v>
      </c>
      <c r="J41" s="3" t="n">
        <v>0.122585618123023</v>
      </c>
      <c r="K41" s="3" t="n">
        <v>0.0988674775698001</v>
      </c>
      <c r="L41" s="3" t="n">
        <v>3.62912486519383E-015</v>
      </c>
      <c r="M41" s="3" t="n">
        <v>0.156143404634555</v>
      </c>
      <c r="N41" s="3" t="n">
        <v>0</v>
      </c>
      <c r="O41" s="3" t="n">
        <v>0.111542331042944</v>
      </c>
      <c r="P41" s="3" t="n">
        <v>0</v>
      </c>
      <c r="Q41" s="3" t="n">
        <v>0.16336319256203</v>
      </c>
      <c r="R41" s="3" t="n">
        <v>1.45164994607753E-014</v>
      </c>
      <c r="S41" s="3" t="n">
        <v>0.0970597440060588</v>
      </c>
      <c r="T41" s="3" t="n">
        <v>0</v>
      </c>
      <c r="U41" s="3" t="n">
        <v>0.209718408161375</v>
      </c>
      <c r="V41" s="3" t="n">
        <v>0</v>
      </c>
      <c r="W41" s="3" t="n">
        <v>0.000565985822465434</v>
      </c>
      <c r="X41" s="3" t="n">
        <v>0.0389102120009993</v>
      </c>
      <c r="Y41" s="3" t="n">
        <v>0.000541390841634571</v>
      </c>
      <c r="Z41" s="3" t="n">
        <v>0.0332631070050447</v>
      </c>
      <c r="AA41" s="3" t="n">
        <v>0.00092756736350551</v>
      </c>
      <c r="AB41" s="3" t="n">
        <v>0.0187630844056284</v>
      </c>
      <c r="AC41" s="3" t="n">
        <v>0.0597642194771218</v>
      </c>
      <c r="AD41" s="3" t="n">
        <v>0.11074497626254</v>
      </c>
      <c r="AE41" s="3" t="n">
        <v>0.175183896247195</v>
      </c>
      <c r="AF41" s="3" t="n">
        <v>0.0399241620205555</v>
      </c>
      <c r="AG41" s="3" t="n">
        <v>1.45164994607753E-014</v>
      </c>
      <c r="AH41" s="3" t="n">
        <v>0.0532861740163845</v>
      </c>
      <c r="AI41" s="3" t="n">
        <v>2.65213708190967E-017</v>
      </c>
      <c r="AJ41" s="3" t="n">
        <v>0.0430665899963433</v>
      </c>
      <c r="AK41" s="3" t="n">
        <v>0</v>
      </c>
      <c r="AL41" s="3" t="n">
        <v>0.00133318880448561</v>
      </c>
      <c r="AM41" s="3" t="n">
        <v>0.0506665471747345</v>
      </c>
      <c r="AN41" s="3" t="n">
        <v>0.00240538614693563</v>
      </c>
      <c r="AO41" s="3" t="n">
        <v>0.0326577193698683</v>
      </c>
      <c r="AP41" s="3" t="n">
        <v>0.00376812031369463</v>
      </c>
      <c r="AQ41" s="3" t="n">
        <v>0.0417334112726116</v>
      </c>
      <c r="AR41" s="3" t="n">
        <v>0.0937788256283385</v>
      </c>
      <c r="AS41" s="3" t="n">
        <v>0.0995517231196264</v>
      </c>
      <c r="AT41" s="3" t="n">
        <v>0.256501365682721</v>
      </c>
      <c r="AU41" s="3" t="n">
        <v>0.000217840276381816</v>
      </c>
      <c r="AV41" s="3" t="n">
        <v>0.000227152558708251</v>
      </c>
      <c r="AW41" s="3" t="n">
        <v>0.000362778485532447</v>
      </c>
      <c r="AX41" s="3" t="n">
        <v>0.000610420594763371</v>
      </c>
      <c r="AY41" s="3" t="n">
        <v>0.000523357506869339</v>
      </c>
      <c r="AZ41" s="3" t="n">
        <v>0.00044717048515282</v>
      </c>
      <c r="BA41" s="3" t="n">
        <v>0.0145933950675093</v>
      </c>
      <c r="BB41" s="3" t="n">
        <v>0.0124390443602569</v>
      </c>
      <c r="BC41" s="3" t="n">
        <v>0.0105594633255706</v>
      </c>
      <c r="BD41" s="3" t="n">
        <v>0.000753476999592071</v>
      </c>
      <c r="BE41" s="3" t="n">
        <v>8.05829732621666E-005</v>
      </c>
      <c r="BF41" s="3" t="n">
        <v>0.00120264525676654</v>
      </c>
      <c r="BG41" s="3" t="n">
        <v>0.000496959949197402</v>
      </c>
      <c r="BH41" s="3" t="n">
        <v>0.000459968950996923</v>
      </c>
      <c r="BI41" s="3" t="n">
        <v>0.0108854929743145</v>
      </c>
      <c r="BJ41" s="3" t="n">
        <v>0.0102967448823868</v>
      </c>
      <c r="BK41" s="3" t="n">
        <v>0.00823171025257801</v>
      </c>
      <c r="BL41" s="3" t="n">
        <v>0.194830119082647</v>
      </c>
      <c r="BM41" s="3" t="n">
        <v>0.100439387388363</v>
      </c>
      <c r="BN41" s="3" t="n">
        <v>0.110017784608913</v>
      </c>
      <c r="BO41" s="3" t="n">
        <v>0.119424696101555</v>
      </c>
      <c r="BP41" s="3" t="n">
        <v>0</v>
      </c>
      <c r="BQ41" s="3" t="n">
        <v>0</v>
      </c>
      <c r="BR41" s="3" t="n">
        <v>0</v>
      </c>
      <c r="BS41" s="169"/>
      <c r="BT41" s="169"/>
      <c r="BU41" s="169"/>
      <c r="BV41" s="169"/>
      <c r="BW41" s="169"/>
      <c r="BX41" s="169"/>
      <c r="BY41" s="169"/>
    </row>
    <row r="42" customFormat="false" ht="12.75" hidden="true" customHeight="false" outlineLevel="0" collapsed="false">
      <c r="A42" s="3" t="n">
        <v>3</v>
      </c>
      <c r="B42" s="3" t="n">
        <v>3.3</v>
      </c>
      <c r="C42" s="3" t="s">
        <v>262</v>
      </c>
      <c r="D42" s="3" t="s">
        <v>245</v>
      </c>
      <c r="E42" s="3" t="n">
        <v>0.224741885725111</v>
      </c>
      <c r="F42" s="3" t="n">
        <v>0.217075399121159</v>
      </c>
      <c r="G42" s="3" t="n">
        <v>0.264327127866211</v>
      </c>
      <c r="H42" s="3" t="n">
        <v>0.0300864891917339</v>
      </c>
      <c r="I42" s="3" t="n">
        <v>0.106343568785311</v>
      </c>
      <c r="J42" s="3" t="n">
        <v>0.108007087585981</v>
      </c>
      <c r="K42" s="3" t="n">
        <v>0.107626599424218</v>
      </c>
      <c r="L42" s="3" t="n">
        <v>3.62912486519383E-015</v>
      </c>
      <c r="M42" s="3" t="n">
        <v>0.143255159441198</v>
      </c>
      <c r="N42" s="3" t="n">
        <v>0</v>
      </c>
      <c r="O42" s="3" t="n">
        <v>0.0973310588043104</v>
      </c>
      <c r="P42" s="3" t="n">
        <v>5.92633608838112E-015</v>
      </c>
      <c r="Q42" s="3" t="n">
        <v>0.189507407447679</v>
      </c>
      <c r="R42" s="3" t="n">
        <v>1.45164994607753E-014</v>
      </c>
      <c r="S42" s="3" t="n">
        <v>0.104134628326349</v>
      </c>
      <c r="T42" s="3" t="n">
        <v>0</v>
      </c>
      <c r="U42" s="3" t="n">
        <v>0.198186970944549</v>
      </c>
      <c r="V42" s="3" t="n">
        <v>0</v>
      </c>
      <c r="W42" s="3" t="n">
        <v>0.000396993552953904</v>
      </c>
      <c r="X42" s="3" t="n">
        <v>0.0240519162924362</v>
      </c>
      <c r="Y42" s="3" t="n">
        <v>0.000548426582023153</v>
      </c>
      <c r="Z42" s="3" t="n">
        <v>0.0237850337624104</v>
      </c>
      <c r="AA42" s="3" t="n">
        <v>0.00051041922234201</v>
      </c>
      <c r="AB42" s="3" t="n">
        <v>0.0221346610064375</v>
      </c>
      <c r="AC42" s="3" t="n">
        <v>0.124941960644574</v>
      </c>
      <c r="AD42" s="3" t="n">
        <v>0.146968957266485</v>
      </c>
      <c r="AE42" s="3" t="n">
        <v>0.119952480047586</v>
      </c>
      <c r="AF42" s="3" t="n">
        <v>0.0362400887700061</v>
      </c>
      <c r="AG42" s="3" t="n">
        <v>1.45164994607753E-014</v>
      </c>
      <c r="AH42" s="3" t="n">
        <v>0.0505892399626632</v>
      </c>
      <c r="AI42" s="3" t="n">
        <v>2.58822077170515E-017</v>
      </c>
      <c r="AJ42" s="3" t="n">
        <v>0.0478357426172037</v>
      </c>
      <c r="AK42" s="3" t="n">
        <v>0</v>
      </c>
      <c r="AL42" s="3" t="n">
        <v>0.00125488416775929</v>
      </c>
      <c r="AM42" s="3" t="n">
        <v>0.0231367714421936</v>
      </c>
      <c r="AN42" s="3" t="n">
        <v>0.002035637594789</v>
      </c>
      <c r="AO42" s="3" t="n">
        <v>0.00913926039820892</v>
      </c>
      <c r="AP42" s="3" t="n">
        <v>0.00288575335974172</v>
      </c>
      <c r="AQ42" s="3" t="n">
        <v>0.0341668130604102</v>
      </c>
      <c r="AR42" s="3" t="n">
        <v>0.183250836055979</v>
      </c>
      <c r="AS42" s="3" t="n">
        <v>0.126044446954129</v>
      </c>
      <c r="AT42" s="3" t="n">
        <v>0.238378920012902</v>
      </c>
      <c r="AU42" s="3" t="n">
        <v>0.000141377385548815</v>
      </c>
      <c r="AV42" s="3" t="n">
        <v>0.00013914411567709</v>
      </c>
      <c r="AW42" s="3" t="n">
        <v>0.00036047918310156</v>
      </c>
      <c r="AX42" s="3" t="n">
        <v>0.000483721518021465</v>
      </c>
      <c r="AY42" s="3" t="n">
        <v>0.000485931949665734</v>
      </c>
      <c r="AZ42" s="3" t="n">
        <v>0.000407650948002391</v>
      </c>
      <c r="BA42" s="3" t="n">
        <v>0.0115162266195927</v>
      </c>
      <c r="BB42" s="3" t="n">
        <v>0.0116145289995846</v>
      </c>
      <c r="BC42" s="3" t="n">
        <v>0.00999858490173789</v>
      </c>
      <c r="BD42" s="3" t="n">
        <v>0.000371246005005129</v>
      </c>
      <c r="BE42" s="3" t="n">
        <v>0.000128857166177756</v>
      </c>
      <c r="BF42" s="3" t="n">
        <v>0.00100867743914044</v>
      </c>
      <c r="BG42" s="3" t="n">
        <v>0.000458470190211691</v>
      </c>
      <c r="BH42" s="3" t="n">
        <v>0.00102533252320771</v>
      </c>
      <c r="BI42" s="3" t="n">
        <v>0.00962246891850597</v>
      </c>
      <c r="BJ42" s="3" t="n">
        <v>0.00819970409607931</v>
      </c>
      <c r="BK42" s="3" t="n">
        <v>0.0183254891141423</v>
      </c>
      <c r="BL42" s="3" t="n">
        <v>0.172433024494702</v>
      </c>
      <c r="BM42" s="3" t="n">
        <v>0.207452791293439</v>
      </c>
      <c r="BN42" s="3" t="n">
        <v>0.130675741219618</v>
      </c>
      <c r="BO42" s="3" t="n">
        <v>0.10066808377676</v>
      </c>
      <c r="BP42" s="3" t="n">
        <v>0</v>
      </c>
      <c r="BQ42" s="3" t="n">
        <v>0</v>
      </c>
      <c r="BR42" s="3" t="n">
        <v>0</v>
      </c>
      <c r="BS42" s="169"/>
      <c r="BT42" s="169"/>
      <c r="BU42" s="169"/>
      <c r="BV42" s="169"/>
      <c r="BW42" s="169"/>
      <c r="BX42" s="169"/>
      <c r="BY42" s="169"/>
    </row>
    <row r="43" customFormat="false" ht="12.75" hidden="true" customHeight="false" outlineLevel="0" collapsed="false">
      <c r="A43" s="3" t="n">
        <v>3</v>
      </c>
      <c r="B43" s="3" t="n">
        <v>3.4</v>
      </c>
      <c r="C43" s="3" t="s">
        <v>263</v>
      </c>
      <c r="D43" s="3" t="s">
        <v>245</v>
      </c>
      <c r="E43" s="3" t="n">
        <v>0.553318519595695</v>
      </c>
      <c r="F43" s="3" t="n">
        <v>0.519401348822542</v>
      </c>
      <c r="G43" s="3" t="n">
        <v>0.529244956700856</v>
      </c>
      <c r="H43" s="3" t="n">
        <v>0.0613957954881582</v>
      </c>
      <c r="I43" s="3" t="n">
        <v>0.207590773047614</v>
      </c>
      <c r="J43" s="3" t="n">
        <v>0.214665188991887</v>
      </c>
      <c r="K43" s="3" t="n">
        <v>0.123746278983725</v>
      </c>
      <c r="L43" s="3" t="n">
        <v>3.84926820292691E-015</v>
      </c>
      <c r="M43" s="3" t="n">
        <v>0.203536498852696</v>
      </c>
      <c r="N43" s="3" t="n">
        <v>0</v>
      </c>
      <c r="O43" s="3" t="n">
        <v>0.121326719520336</v>
      </c>
      <c r="P43" s="3" t="n">
        <v>0</v>
      </c>
      <c r="Q43" s="3" t="n">
        <v>0.220065231356917</v>
      </c>
      <c r="R43" s="3" t="n">
        <v>1.45164994607753E-014</v>
      </c>
      <c r="S43" s="3" t="n">
        <v>0.130690960907943</v>
      </c>
      <c r="T43" s="3" t="n">
        <v>0</v>
      </c>
      <c r="U43" s="3" t="n">
        <v>0.226923568513946</v>
      </c>
      <c r="V43" s="3" t="n">
        <v>0</v>
      </c>
      <c r="W43" s="168" t="n">
        <v>0.00119010035014105</v>
      </c>
      <c r="X43" s="3" t="n">
        <v>0.0826285893222745</v>
      </c>
      <c r="Y43" s="168" t="n">
        <v>0.00109912766240366</v>
      </c>
      <c r="Z43" s="3" t="n">
        <v>0.0918117249662638</v>
      </c>
      <c r="AA43" s="168" t="n">
        <v>0.000925156787299764</v>
      </c>
      <c r="AB43" s="3" t="n">
        <v>0.0668306163028555</v>
      </c>
      <c r="AC43" s="3" t="n">
        <v>0.4047555023339</v>
      </c>
      <c r="AD43" s="3" t="n">
        <v>0.208443922010672</v>
      </c>
      <c r="AE43" s="3" t="n">
        <v>0.243462044799534</v>
      </c>
      <c r="AF43" s="3" t="n">
        <v>0.0512575135248846</v>
      </c>
      <c r="AG43" s="168" t="n">
        <v>1.45164994607753E-014</v>
      </c>
      <c r="AH43" s="3" t="n">
        <v>0.0552703500394034</v>
      </c>
      <c r="AI43" s="3" t="n">
        <v>4.33092171906176E-017</v>
      </c>
      <c r="AJ43" s="3" t="n">
        <v>0.0591710977663082</v>
      </c>
      <c r="AK43" s="3" t="n">
        <v>0</v>
      </c>
      <c r="AL43" s="168" t="n">
        <v>0.00262858891069878</v>
      </c>
      <c r="AM43" s="3" t="n">
        <v>0.0188907006507537</v>
      </c>
      <c r="AN43" s="168" t="n">
        <v>0.00364624507892435</v>
      </c>
      <c r="AO43" s="3" t="n">
        <v>0.0311474174924933</v>
      </c>
      <c r="AP43" s="168" t="n">
        <v>0.00299000318971271</v>
      </c>
      <c r="AQ43" s="3" t="n">
        <v>0.0708352139906412</v>
      </c>
      <c r="AR43" s="3" t="n">
        <v>0.21718943572007</v>
      </c>
      <c r="AS43" s="3" t="n">
        <v>0.59755242918782</v>
      </c>
      <c r="AT43" s="3" t="n">
        <v>0.297025013610219</v>
      </c>
      <c r="AU43" s="168" t="n">
        <v>0.000122611035452144</v>
      </c>
      <c r="AV43" s="168" t="n">
        <v>0.000126618033093156</v>
      </c>
      <c r="AW43" s="3" t="n">
        <v>0.000103977149105909</v>
      </c>
      <c r="AX43" s="168" t="n">
        <v>0.000597229632529577</v>
      </c>
      <c r="AY43" s="168" t="n">
        <v>0.000591748901573161</v>
      </c>
      <c r="AZ43" s="168" t="n">
        <v>0.000429692245457942</v>
      </c>
      <c r="BA43" s="3" t="n">
        <v>0.0144109128677467</v>
      </c>
      <c r="BB43" s="3" t="n">
        <v>0.0142442109012424</v>
      </c>
      <c r="BC43" s="3" t="n">
        <v>0.0103822948968538</v>
      </c>
      <c r="BD43" s="168" t="n">
        <v>0.00364970712510767</v>
      </c>
      <c r="BE43" s="168" t="n">
        <v>9.04959987902093E-005</v>
      </c>
      <c r="BF43" s="168" t="n">
        <v>0.000397237918704713</v>
      </c>
      <c r="BG43" s="168" t="n">
        <v>0.000640377480975194</v>
      </c>
      <c r="BH43" s="168" t="n">
        <v>0.00192313042116679</v>
      </c>
      <c r="BI43" s="168" t="n">
        <v>0.0027696572437787</v>
      </c>
      <c r="BJ43" s="3" t="n">
        <v>0.0229772519274542</v>
      </c>
      <c r="BK43" s="168" t="n">
        <v>0.0353363401606629</v>
      </c>
      <c r="BL43" s="3" t="n">
        <v>0.0493203752368667</v>
      </c>
      <c r="BM43" s="3" t="n">
        <v>0</v>
      </c>
      <c r="BN43" s="3" t="n">
        <v>0</v>
      </c>
      <c r="BO43" s="3" t="n">
        <v>0</v>
      </c>
      <c r="BP43" s="3" t="n">
        <v>0.204836486739583</v>
      </c>
      <c r="BQ43" s="3" t="n">
        <v>0.555800041508916</v>
      </c>
      <c r="BR43" s="3" t="n">
        <v>0.259258100293776</v>
      </c>
      <c r="BS43" s="169"/>
      <c r="BT43" s="169"/>
      <c r="BU43" s="169"/>
      <c r="BV43" s="169"/>
      <c r="BW43" s="169"/>
      <c r="BX43" s="169"/>
      <c r="BY43" s="169"/>
    </row>
    <row r="44" customFormat="false" ht="12.75" hidden="true" customHeight="false" outlineLevel="0" collapsed="false">
      <c r="A44" s="3" t="n">
        <v>3</v>
      </c>
      <c r="B44" s="3" t="n">
        <v>3.4</v>
      </c>
      <c r="C44" s="3" t="s">
        <v>264</v>
      </c>
      <c r="D44" s="3" t="s">
        <v>245</v>
      </c>
      <c r="E44" s="3" t="n">
        <v>0.712439212137167</v>
      </c>
      <c r="F44" s="3" t="n">
        <v>0.657000543413545</v>
      </c>
      <c r="G44" s="3" t="n">
        <v>0.734322379356394</v>
      </c>
      <c r="H44" s="3" t="n">
        <v>0.0647898115089514</v>
      </c>
      <c r="I44" s="3" t="n">
        <v>0.289404922704617</v>
      </c>
      <c r="J44" s="3" t="n">
        <v>0.290665303980583</v>
      </c>
      <c r="K44" s="3" t="n">
        <v>0.123032304957039</v>
      </c>
      <c r="L44" s="3" t="n">
        <v>3.62912486519383E-015</v>
      </c>
      <c r="M44" s="3" t="n">
        <v>0.218804727255986</v>
      </c>
      <c r="N44" s="3" t="n">
        <v>0</v>
      </c>
      <c r="O44" s="3" t="n">
        <v>0.128545915799924</v>
      </c>
      <c r="P44" s="3" t="n">
        <v>0</v>
      </c>
      <c r="Q44" s="3" t="n">
        <v>0.218748371753772</v>
      </c>
      <c r="R44" s="3" t="n">
        <v>1.45164994607753E-014</v>
      </c>
      <c r="S44" s="3" t="n">
        <v>0.131922729291139</v>
      </c>
      <c r="T44" s="3" t="n">
        <v>0</v>
      </c>
      <c r="U44" s="3" t="n">
        <v>0.226983698878404</v>
      </c>
      <c r="V44" s="3" t="n">
        <v>0</v>
      </c>
      <c r="W44" s="3" t="n">
        <v>0.00089173783918849</v>
      </c>
      <c r="X44" s="3" t="n">
        <v>0.0128676505383106</v>
      </c>
      <c r="Y44" s="3" t="n">
        <v>0.000597391087156938</v>
      </c>
      <c r="Z44" s="3" t="n">
        <v>0.0134610665710223</v>
      </c>
      <c r="AA44" s="168" t="n">
        <v>0.00077786373830026</v>
      </c>
      <c r="AB44" s="3" t="n">
        <v>0.0231492659736784</v>
      </c>
      <c r="AC44" s="3" t="n">
        <v>0.2275025293298</v>
      </c>
      <c r="AD44" s="3" t="n">
        <v>0.30822268677492</v>
      </c>
      <c r="AE44" s="3" t="n">
        <v>0.281751850854846</v>
      </c>
      <c r="AF44" s="3" t="n">
        <v>0.0554219811988001</v>
      </c>
      <c r="AG44" s="168" t="n">
        <v>1.45164994607753E-014</v>
      </c>
      <c r="AH44" s="3" t="n">
        <v>0.0591865047717904</v>
      </c>
      <c r="AI44" s="3" t="n">
        <v>3.27386909037879E-017</v>
      </c>
      <c r="AJ44" s="3" t="n">
        <v>0.0526669491209657</v>
      </c>
      <c r="AK44" s="3" t="n">
        <v>0</v>
      </c>
      <c r="AL44" s="3" t="n">
        <v>0.00176603806742103</v>
      </c>
      <c r="AM44" s="3" t="n">
        <v>0.0149418251408756</v>
      </c>
      <c r="AN44" s="3" t="n">
        <v>0.00337800860743188</v>
      </c>
      <c r="AO44" s="3" t="n">
        <v>0.0188371144260943</v>
      </c>
      <c r="AP44" s="3" t="n">
        <v>0.00229892107357701</v>
      </c>
      <c r="AQ44" s="3" t="n">
        <v>0.019875511130511</v>
      </c>
      <c r="AR44" s="3" t="n">
        <v>0.242491855192669</v>
      </c>
      <c r="AS44" s="3" t="n">
        <v>0.302932467817456</v>
      </c>
      <c r="AT44" s="3" t="n">
        <v>0.431851278344725</v>
      </c>
      <c r="AU44" s="3" t="n">
        <v>7.24360227457784E-005</v>
      </c>
      <c r="AV44" s="3" t="n">
        <v>0.000104815492824941</v>
      </c>
      <c r="AW44" s="3" t="n">
        <v>5.44858630776938E-005</v>
      </c>
      <c r="AX44" s="3" t="n">
        <v>0.00112621172701408</v>
      </c>
      <c r="AY44" s="3" t="n">
        <v>0.000469948912828282</v>
      </c>
      <c r="AZ44" s="3" t="n">
        <v>0.00063167309973745</v>
      </c>
      <c r="BA44" s="3" t="n">
        <v>0.0271054824437824</v>
      </c>
      <c r="BB44" s="3" t="n">
        <v>0.0113058815643622</v>
      </c>
      <c r="BC44" s="3" t="n">
        <v>0.0151417532681431</v>
      </c>
      <c r="BD44" s="3" t="n">
        <v>0.000319055315726037</v>
      </c>
      <c r="BE44" s="3" t="n">
        <v>9.05701741711117E-005</v>
      </c>
      <c r="BF44" s="3" t="n">
        <v>0.000154006211055204</v>
      </c>
      <c r="BG44" s="3" t="n">
        <v>0.000451713894599021</v>
      </c>
      <c r="BH44" s="168" t="n">
        <v>0.000469825659548447</v>
      </c>
      <c r="BI44" s="3" t="n">
        <v>0.00127225727584778</v>
      </c>
      <c r="BJ44" s="3" t="n">
        <v>0.00783410340555881</v>
      </c>
      <c r="BK44" s="3" t="n">
        <v>0.0085324392543847</v>
      </c>
      <c r="BL44" s="3" t="n">
        <v>0.0228031285961341</v>
      </c>
      <c r="BM44" s="3" t="n">
        <v>0</v>
      </c>
      <c r="BN44" s="3" t="n">
        <v>0</v>
      </c>
      <c r="BO44" s="3" t="n">
        <v>0</v>
      </c>
      <c r="BP44" s="3" t="n">
        <v>0.254609215873999</v>
      </c>
      <c r="BQ44" s="3" t="n">
        <v>0.349120470985115</v>
      </c>
      <c r="BR44" s="3" t="n">
        <v>0.421230652052136</v>
      </c>
      <c r="BS44" s="169"/>
      <c r="BT44" s="169"/>
      <c r="BU44" s="169"/>
      <c r="BV44" s="169"/>
      <c r="BW44" s="169"/>
      <c r="BX44" s="169"/>
      <c r="BY44" s="169"/>
    </row>
    <row r="45" customFormat="false" ht="12.75" hidden="true" customHeight="false" outlineLevel="0" collapsed="false">
      <c r="A45" s="3" t="n">
        <v>3</v>
      </c>
      <c r="B45" s="3" t="n">
        <v>3.4</v>
      </c>
      <c r="C45" s="3" t="s">
        <v>265</v>
      </c>
      <c r="D45" s="3" t="s">
        <v>245</v>
      </c>
      <c r="E45" s="3" t="n">
        <v>0.596166756988699</v>
      </c>
      <c r="F45" s="3" t="n">
        <v>0.553207947596585</v>
      </c>
      <c r="G45" s="3" t="n">
        <v>0.539292504207494</v>
      </c>
      <c r="H45" s="3" t="n">
        <v>0.047789706482216</v>
      </c>
      <c r="I45" s="3" t="n">
        <v>0.307171994579618</v>
      </c>
      <c r="J45" s="3" t="n">
        <v>0.323868507871221</v>
      </c>
      <c r="K45" s="3" t="n">
        <v>0.0887529511042302</v>
      </c>
      <c r="L45" s="3" t="n">
        <v>3.62912486519383E-015</v>
      </c>
      <c r="M45" s="3" t="n">
        <v>0.141937496797361</v>
      </c>
      <c r="N45" s="3" t="n">
        <v>0</v>
      </c>
      <c r="O45" s="3" t="n">
        <v>0.0827371506902893</v>
      </c>
      <c r="P45" s="3" t="n">
        <v>0</v>
      </c>
      <c r="Q45" s="3" t="n">
        <v>0.168426102455666</v>
      </c>
      <c r="R45" s="3" t="n">
        <v>1.45164994607753E-014</v>
      </c>
      <c r="S45" s="3" t="n">
        <v>0.10584613645369</v>
      </c>
      <c r="T45" s="3" t="n">
        <v>0</v>
      </c>
      <c r="U45" s="3" t="n">
        <v>0.171053095104772</v>
      </c>
      <c r="V45" s="3" t="n">
        <v>0</v>
      </c>
      <c r="W45" s="3" t="n">
        <v>0.00100899966590533</v>
      </c>
      <c r="X45" s="3" t="n">
        <v>0.0203676860087029</v>
      </c>
      <c r="Y45" s="3" t="n">
        <v>0.000704780362950059</v>
      </c>
      <c r="Z45" s="3" t="n">
        <v>0.0134437006492767</v>
      </c>
      <c r="AA45" s="3" t="n">
        <v>0.000966982404258219</v>
      </c>
      <c r="AB45" s="3" t="n">
        <v>0.0156959519282148</v>
      </c>
      <c r="AC45" s="3" t="n">
        <v>0.29679198389382</v>
      </c>
      <c r="AD45" s="3" t="n">
        <v>0.137279494103996</v>
      </c>
      <c r="AE45" s="3" t="n">
        <v>0.24755731490367</v>
      </c>
      <c r="AF45" s="3" t="n">
        <v>0.0369518191488038</v>
      </c>
      <c r="AG45" s="168" t="n">
        <v>5.92633608838112E-015</v>
      </c>
      <c r="AH45" s="3" t="n">
        <v>0.0446370927511571</v>
      </c>
      <c r="AI45" s="3" t="n">
        <v>4.62995006904775E-017</v>
      </c>
      <c r="AJ45" s="3" t="n">
        <v>0.0461736037193877</v>
      </c>
      <c r="AK45" s="3" t="n">
        <v>0</v>
      </c>
      <c r="AL45" s="3" t="n">
        <v>0.00208667314385254</v>
      </c>
      <c r="AM45" s="3" t="n">
        <v>0.0249024438732822</v>
      </c>
      <c r="AN45" s="3" t="n">
        <v>0.00352589707132945</v>
      </c>
      <c r="AO45" s="3" t="n">
        <v>0.0242957975086081</v>
      </c>
      <c r="AP45" s="3" t="n">
        <v>0.00163548566201366</v>
      </c>
      <c r="AQ45" s="3" t="n">
        <v>0.02124291363359</v>
      </c>
      <c r="AR45" s="3" t="n">
        <v>0.2229990733392</v>
      </c>
      <c r="AS45" s="3" t="n">
        <v>0.430930420702647</v>
      </c>
      <c r="AT45" s="3" t="n">
        <v>0.162945917114671</v>
      </c>
      <c r="AU45" s="3" t="n">
        <v>0.000105124877776264</v>
      </c>
      <c r="AV45" s="3" t="n">
        <v>9.29712402931952E-005</v>
      </c>
      <c r="AW45" s="3" t="n">
        <v>5.32525620260818E-005</v>
      </c>
      <c r="AX45" s="3" t="n">
        <v>0.000837664904889091</v>
      </c>
      <c r="AY45" s="3" t="n">
        <v>0.00036772761896581</v>
      </c>
      <c r="AZ45" s="3" t="n">
        <v>0.000525385284615251</v>
      </c>
      <c r="BA45" s="3" t="n">
        <v>0.0202178543230699</v>
      </c>
      <c r="BB45" s="3" t="n">
        <v>0.00878922502846065</v>
      </c>
      <c r="BC45" s="3" t="n">
        <v>0.0126350125317139</v>
      </c>
      <c r="BD45" s="3" t="n">
        <v>0.000401032735572381</v>
      </c>
      <c r="BE45" s="168" t="n">
        <v>0.000139006486138095</v>
      </c>
      <c r="BF45" s="3" t="n">
        <v>0.000408576097874601</v>
      </c>
      <c r="BG45" s="168" t="n">
        <v>0.000443820437907038</v>
      </c>
      <c r="BH45" s="168" t="n">
        <v>0.000605487342405393</v>
      </c>
      <c r="BI45" s="3" t="n">
        <v>0.00332044339759443</v>
      </c>
      <c r="BJ45" s="3" t="n">
        <v>0.00752551735231895</v>
      </c>
      <c r="BK45" s="3" t="n">
        <v>0.0112293407546467</v>
      </c>
      <c r="BL45" s="3" t="n">
        <v>0.0593170348996655</v>
      </c>
      <c r="BM45" s="3" t="n">
        <v>0</v>
      </c>
      <c r="BN45" s="3" t="n">
        <v>0</v>
      </c>
      <c r="BO45" s="3" t="n">
        <v>0</v>
      </c>
      <c r="BP45" s="3" t="n">
        <v>0.199963736522172</v>
      </c>
      <c r="BQ45" s="3" t="n">
        <v>0.433544105869998</v>
      </c>
      <c r="BR45" s="3" t="n">
        <v>0.155989922318832</v>
      </c>
      <c r="BS45" s="169"/>
      <c r="BT45" s="169"/>
      <c r="BU45" s="169"/>
      <c r="BV45" s="169"/>
      <c r="BW45" s="169"/>
      <c r="BX45" s="169"/>
      <c r="BY45" s="169"/>
    </row>
    <row r="46" customFormat="false" ht="12.75" hidden="true" customHeight="false" outlineLevel="0" collapsed="false">
      <c r="A46" s="3" t="n">
        <v>4</v>
      </c>
      <c r="B46" s="3" t="n">
        <v>4.1</v>
      </c>
      <c r="C46" s="3" t="s">
        <v>266</v>
      </c>
      <c r="D46" s="3" t="s">
        <v>245</v>
      </c>
      <c r="E46" s="3" t="n">
        <v>0.0548366429410437</v>
      </c>
      <c r="F46" s="168" t="n">
        <v>0.00415117755069478</v>
      </c>
      <c r="G46" s="168" t="n">
        <v>0.00698043605872784</v>
      </c>
      <c r="H46" s="3" t="n">
        <v>0.0561270153968051</v>
      </c>
      <c r="I46" s="168" t="n">
        <v>0.00791323096966737</v>
      </c>
      <c r="J46" s="3" t="n">
        <v>0.0565912167722118</v>
      </c>
      <c r="K46" s="3" t="n">
        <v>0.136470579594739</v>
      </c>
      <c r="L46" s="168" t="n">
        <v>3.62912486519383E-015</v>
      </c>
      <c r="M46" s="3" t="n">
        <v>0.211020344934053</v>
      </c>
      <c r="N46" s="3" t="n">
        <v>0</v>
      </c>
      <c r="O46" s="3" t="n">
        <v>0.117922124778685</v>
      </c>
      <c r="P46" s="168" t="n">
        <v>5.92633608838112E-015</v>
      </c>
      <c r="Q46" s="3" t="n">
        <v>0.220444222974321</v>
      </c>
      <c r="R46" s="168" t="n">
        <v>1.45164994607753E-014</v>
      </c>
      <c r="S46" s="3" t="n">
        <v>0.139448359812318</v>
      </c>
      <c r="T46" s="3" t="n">
        <v>0</v>
      </c>
      <c r="U46" s="3" t="n">
        <v>0.250591644655217</v>
      </c>
      <c r="V46" s="3" t="n">
        <v>0</v>
      </c>
      <c r="W46" s="168" t="n">
        <v>0.000394334182633808</v>
      </c>
      <c r="X46" s="168" t="n">
        <v>0.00847005597944451</v>
      </c>
      <c r="Y46" s="168" t="n">
        <v>0.00048686537993548</v>
      </c>
      <c r="Z46" s="168" t="n">
        <v>0.0141176561543223</v>
      </c>
      <c r="AA46" s="168" t="n">
        <v>0.000377132337869176</v>
      </c>
      <c r="AB46" s="168" t="n">
        <v>0.0142930878167853</v>
      </c>
      <c r="AC46" s="3" t="n">
        <v>0.041741008191733</v>
      </c>
      <c r="AD46" s="168" t="n">
        <v>0.021935665506434</v>
      </c>
      <c r="AE46" s="168" t="n">
        <v>0.0108436659932845</v>
      </c>
      <c r="AF46" s="3" t="n">
        <v>0.0530257805974684</v>
      </c>
      <c r="AG46" s="168" t="n">
        <v>1.00241359451221E-017</v>
      </c>
      <c r="AH46" s="3" t="n">
        <v>0.0630475455279668</v>
      </c>
      <c r="AI46" s="3" t="n">
        <v>0</v>
      </c>
      <c r="AJ46" s="3" t="n">
        <v>0.0554458193559982</v>
      </c>
      <c r="AK46" s="3" t="n">
        <v>0</v>
      </c>
      <c r="AL46" s="168" t="n">
        <v>0.00053341180906571</v>
      </c>
      <c r="AM46" s="3" t="n">
        <v>0.178110541769445</v>
      </c>
      <c r="AN46" s="168" t="n">
        <v>9.71067376685599E-005</v>
      </c>
      <c r="AO46" s="168" t="n">
        <v>0.0266809637652075</v>
      </c>
      <c r="AP46" s="168" t="n">
        <v>4.90858883300715E-005</v>
      </c>
      <c r="AQ46" s="168" t="n">
        <v>0.0225938591003165</v>
      </c>
      <c r="AR46" s="168" t="n">
        <v>0.00102287639087742</v>
      </c>
      <c r="AS46" s="168" t="n">
        <v>0.00295866407150987</v>
      </c>
      <c r="AT46" s="168" t="n">
        <v>0.00199782878796323</v>
      </c>
      <c r="AU46" s="168" t="n">
        <v>0.000307497070564789</v>
      </c>
      <c r="AV46" s="168" t="n">
        <v>0.000585530352868968</v>
      </c>
      <c r="AW46" s="168" t="n">
        <v>0.000776078556040009</v>
      </c>
      <c r="AX46" s="168" t="n">
        <v>0.000124464882112341</v>
      </c>
      <c r="AY46" s="168" t="n">
        <v>0.000210948657031013</v>
      </c>
      <c r="AZ46" s="168" t="n">
        <v>0.000123557784930797</v>
      </c>
      <c r="BA46" s="168" t="n">
        <v>0.00302308653294817</v>
      </c>
      <c r="BB46" s="168" t="n">
        <v>0.00511190554800693</v>
      </c>
      <c r="BC46" s="168" t="n">
        <v>0.00300877450873599</v>
      </c>
      <c r="BD46" s="168" t="n">
        <v>4.37510074415656E-005</v>
      </c>
      <c r="BE46" s="168" t="n">
        <v>3.75041640193558E-005</v>
      </c>
      <c r="BF46" s="168" t="n">
        <v>5.41463710023664E-005</v>
      </c>
      <c r="BG46" s="168" t="n">
        <v>7.34158220582205E-005</v>
      </c>
      <c r="BH46" s="168" t="n">
        <v>8.38215529228158E-005</v>
      </c>
      <c r="BI46" s="168" t="n">
        <v>0.00014428013128844</v>
      </c>
      <c r="BJ46" s="168" t="n">
        <v>0.00139387080424688</v>
      </c>
      <c r="BK46" s="168" t="n">
        <v>0.00155864699612892</v>
      </c>
      <c r="BL46" s="168" t="n">
        <v>0.00269779058182672</v>
      </c>
      <c r="BM46" s="3" t="n">
        <v>0</v>
      </c>
      <c r="BN46" s="3" t="n">
        <v>0</v>
      </c>
      <c r="BO46" s="3" t="n">
        <v>0</v>
      </c>
      <c r="BP46" s="3" t="n">
        <v>0</v>
      </c>
      <c r="BQ46" s="3" t="n">
        <v>0</v>
      </c>
      <c r="BR46" s="3" t="n">
        <v>0</v>
      </c>
      <c r="BS46" s="169"/>
      <c r="BT46" s="169"/>
      <c r="BU46" s="169"/>
      <c r="BV46" s="169"/>
      <c r="BW46" s="169"/>
      <c r="BX46" s="169"/>
      <c r="BY46" s="169"/>
    </row>
    <row r="47" customFormat="false" ht="12.75" hidden="true" customHeight="false" outlineLevel="0" collapsed="false">
      <c r="A47" s="3" t="n">
        <v>4</v>
      </c>
      <c r="B47" s="3" t="n">
        <v>4.1</v>
      </c>
      <c r="C47" s="3" t="s">
        <v>267</v>
      </c>
      <c r="D47" s="3" t="s">
        <v>245</v>
      </c>
      <c r="E47" s="3" t="n">
        <v>0.0319201856428015</v>
      </c>
      <c r="F47" s="168" t="n">
        <v>0.00384972788859576</v>
      </c>
      <c r="G47" s="168" t="n">
        <v>0.00918360270537899</v>
      </c>
      <c r="H47" s="3" t="n">
        <v>0.0319639498068562</v>
      </c>
      <c r="I47" s="168" t="n">
        <v>0.00930399314460298</v>
      </c>
      <c r="J47" s="3" t="n">
        <v>0.0328889856567442</v>
      </c>
      <c r="K47" s="3" t="n">
        <v>0.0877620626128353</v>
      </c>
      <c r="L47" s="168" t="n">
        <v>3.62912486519383E-015</v>
      </c>
      <c r="M47" s="3" t="n">
        <v>0.127372114206896</v>
      </c>
      <c r="N47" s="3" t="n">
        <v>0</v>
      </c>
      <c r="O47" s="3" t="n">
        <v>0.0624013564512587</v>
      </c>
      <c r="P47" s="3" t="n">
        <v>0</v>
      </c>
      <c r="Q47" s="3" t="n">
        <v>0.114232603724267</v>
      </c>
      <c r="R47" s="168" t="n">
        <v>1.18526721767622E-014</v>
      </c>
      <c r="S47" s="3" t="n">
        <v>0.078473442489086</v>
      </c>
      <c r="T47" s="3" t="n">
        <v>0</v>
      </c>
      <c r="U47" s="3" t="n">
        <v>0.15492080714426</v>
      </c>
      <c r="V47" s="3" t="n">
        <v>0</v>
      </c>
      <c r="W47" s="168" t="n">
        <v>0.000317039543453245</v>
      </c>
      <c r="X47" s="168" t="n">
        <v>0.0051278204550112</v>
      </c>
      <c r="Y47" s="168" t="n">
        <v>0.000320244608782645</v>
      </c>
      <c r="Z47" s="168" t="n">
        <v>0.0133172737066273</v>
      </c>
      <c r="AA47" s="168" t="n">
        <v>0.000255099279900584</v>
      </c>
      <c r="AB47" s="168" t="n">
        <v>0.00744812359683069</v>
      </c>
      <c r="AC47" s="168" t="n">
        <v>0.0273188056074721</v>
      </c>
      <c r="AD47" s="168" t="n">
        <v>0.0110261658793979</v>
      </c>
      <c r="AE47" s="168" t="n">
        <v>0.00472422386540219</v>
      </c>
      <c r="AF47" s="3" t="n">
        <v>0.0320833994616299</v>
      </c>
      <c r="AG47" s="168" t="n">
        <v>1.00241359451221E-017</v>
      </c>
      <c r="AH47" s="3" t="n">
        <v>0.039010772861801</v>
      </c>
      <c r="AI47" s="3" t="n">
        <v>0</v>
      </c>
      <c r="AJ47" s="168" t="n">
        <v>0.0288457768239942</v>
      </c>
      <c r="AK47" s="168" t="n">
        <v>1.32516903511304E-014</v>
      </c>
      <c r="AL47" s="168" t="n">
        <v>9.67107749420099E-005</v>
      </c>
      <c r="AM47" s="3" t="n">
        <v>0.0322606341709664</v>
      </c>
      <c r="AN47" s="168" t="n">
        <v>5.17453715936232E-005</v>
      </c>
      <c r="AO47" s="168" t="n">
        <v>0.018670705229993</v>
      </c>
      <c r="AP47" s="168" t="n">
        <v>5.94411910568213E-005</v>
      </c>
      <c r="AQ47" s="168" t="n">
        <v>0.0167908159584906</v>
      </c>
      <c r="AR47" s="168" t="n">
        <v>0.00138475599731563</v>
      </c>
      <c r="AS47" s="168" t="n">
        <v>0.00296740230573102</v>
      </c>
      <c r="AT47" s="168" t="n">
        <v>0.00182119231033734</v>
      </c>
      <c r="AU47" s="168" t="n">
        <v>0.000225477996451934</v>
      </c>
      <c r="AV47" s="168" t="n">
        <v>0.000587639128145249</v>
      </c>
      <c r="AW47" s="168" t="n">
        <v>0.000768020706053497</v>
      </c>
      <c r="AX47" s="168" t="n">
        <v>0.000186425661781411</v>
      </c>
      <c r="AY47" s="168" t="n">
        <v>0.000125733219984801</v>
      </c>
      <c r="AZ47" s="168" t="n">
        <v>0.000130252581503681</v>
      </c>
      <c r="BA47" s="168" t="n">
        <v>0.00452204696470915</v>
      </c>
      <c r="BB47" s="168" t="n">
        <v>0.00304604595413684</v>
      </c>
      <c r="BC47" s="168" t="n">
        <v>0.0031554286297386</v>
      </c>
      <c r="BD47" s="168" t="n">
        <v>5.50896285513537E-005</v>
      </c>
      <c r="BE47" s="168" t="n">
        <v>6.37998585929446E-005</v>
      </c>
      <c r="BF47" s="168" t="n">
        <v>5.89483629353804E-005</v>
      </c>
      <c r="BG47" s="168" t="n">
        <v>9.1100435108355E-005</v>
      </c>
      <c r="BH47" s="168" t="n">
        <v>9.04082858068427E-005</v>
      </c>
      <c r="BI47" s="168" t="n">
        <v>0.000170047607869018</v>
      </c>
      <c r="BJ47" s="168" t="n">
        <v>0.00172961136553024</v>
      </c>
      <c r="BK47" s="168" t="n">
        <v>0.00168122170362091</v>
      </c>
      <c r="BL47" s="168" t="n">
        <v>0.00317982675197325</v>
      </c>
      <c r="BM47" s="3" t="n">
        <v>0</v>
      </c>
      <c r="BN47" s="3" t="n">
        <v>0</v>
      </c>
      <c r="BO47" s="3" t="n">
        <v>0</v>
      </c>
      <c r="BP47" s="3" t="n">
        <v>0</v>
      </c>
      <c r="BQ47" s="3" t="n">
        <v>0</v>
      </c>
      <c r="BR47" s="3" t="n">
        <v>0</v>
      </c>
      <c r="BS47" s="169"/>
      <c r="BT47" s="169"/>
      <c r="BU47" s="169"/>
      <c r="BV47" s="169"/>
      <c r="BW47" s="169"/>
      <c r="BX47" s="169"/>
      <c r="BY47" s="169"/>
    </row>
    <row r="48" customFormat="false" ht="12.75" hidden="true" customHeight="false" outlineLevel="0" collapsed="false">
      <c r="A48" s="3" t="n">
        <v>4</v>
      </c>
      <c r="B48" s="3" t="n">
        <v>4.1</v>
      </c>
      <c r="C48" s="3" t="s">
        <v>268</v>
      </c>
      <c r="D48" s="3" t="s">
        <v>245</v>
      </c>
      <c r="E48" s="3" t="n">
        <v>0.0399832999224482</v>
      </c>
      <c r="F48" s="168" t="n">
        <v>0.00347591655621893</v>
      </c>
      <c r="G48" s="168" t="n">
        <v>0.00858692179327846</v>
      </c>
      <c r="H48" s="3" t="n">
        <v>0.0401292672893815</v>
      </c>
      <c r="I48" s="168" t="n">
        <v>0.00996265312006006</v>
      </c>
      <c r="J48" s="3" t="n">
        <v>0.0447721611560918</v>
      </c>
      <c r="K48" s="3" t="n">
        <v>0.080332891669964</v>
      </c>
      <c r="L48" s="168" t="n">
        <v>4.38258464004065E-015</v>
      </c>
      <c r="M48" s="3" t="n">
        <v>0.14928441191424</v>
      </c>
      <c r="N48" s="3" t="n">
        <v>0</v>
      </c>
      <c r="O48" s="3" t="n">
        <v>0.0974040160727584</v>
      </c>
      <c r="P48" s="3" t="n">
        <v>0</v>
      </c>
      <c r="Q48" s="3" t="n">
        <v>0.147878836044916</v>
      </c>
      <c r="R48" s="168" t="n">
        <v>1.32516903511304E-014</v>
      </c>
      <c r="S48" s="3" t="n">
        <v>0.0718289586549129</v>
      </c>
      <c r="T48" s="3" t="n">
        <v>0</v>
      </c>
      <c r="U48" s="3" t="n">
        <v>0.138480716964547</v>
      </c>
      <c r="V48" s="3" t="n">
        <v>0</v>
      </c>
      <c r="W48" s="168" t="n">
        <v>0.000416862149153765</v>
      </c>
      <c r="X48" s="168" t="n">
        <v>0.00620310153231477</v>
      </c>
      <c r="Y48" s="168" t="n">
        <v>0.000532046881065423</v>
      </c>
      <c r="Z48" s="168" t="n">
        <v>0.0142422649193588</v>
      </c>
      <c r="AA48" s="168" t="n">
        <v>0.000347061473566363</v>
      </c>
      <c r="AB48" s="168" t="n">
        <v>0.0198313361112915</v>
      </c>
      <c r="AC48" s="3" t="n">
        <v>0.0392499292505594</v>
      </c>
      <c r="AD48" s="168" t="n">
        <v>0.015936681998786</v>
      </c>
      <c r="AE48" s="168" t="n">
        <v>0.0144504050188964</v>
      </c>
      <c r="AF48" s="3" t="n">
        <v>0.0375391944351579</v>
      </c>
      <c r="AG48" s="168" t="n">
        <v>7.65606029084168E-018</v>
      </c>
      <c r="AH48" s="3" t="n">
        <v>0.0348908991082179</v>
      </c>
      <c r="AI48" s="3" t="n">
        <v>0</v>
      </c>
      <c r="AJ48" s="3" t="n">
        <v>0.0372975123310806</v>
      </c>
      <c r="AK48" s="168" t="n">
        <v>7.83980573782188E-015</v>
      </c>
      <c r="AL48" s="168" t="n">
        <v>0.000126426618679929</v>
      </c>
      <c r="AM48" s="3" t="n">
        <v>0.0437287912471305</v>
      </c>
      <c r="AN48" s="168" t="n">
        <v>5.60065907021643E-005</v>
      </c>
      <c r="AO48" s="168" t="n">
        <v>0.0174005453478983</v>
      </c>
      <c r="AP48" s="168" t="n">
        <v>3.8603424537959E-005</v>
      </c>
      <c r="AQ48" s="168" t="n">
        <v>0.0189801604274471</v>
      </c>
      <c r="AR48" s="168" t="n">
        <v>0.00117883305203294</v>
      </c>
      <c r="AS48" s="168" t="n">
        <v>0.00303778388902986</v>
      </c>
      <c r="AT48" s="168" t="n">
        <v>0.00207576838275388</v>
      </c>
      <c r="AU48" s="168" t="n">
        <v>0.000227390952204682</v>
      </c>
      <c r="AV48" s="168" t="n">
        <v>0.000582312554091247</v>
      </c>
      <c r="AW48" s="168" t="n">
        <v>0.000749322135212242</v>
      </c>
      <c r="AX48" s="168" t="n">
        <v>0.000171196675608003</v>
      </c>
      <c r="AY48" s="168" t="n">
        <v>0.000218263365715203</v>
      </c>
      <c r="AZ48" s="168" t="n">
        <v>0.000188616650164831</v>
      </c>
      <c r="BA48" s="168" t="n">
        <v>0.00415276468785161</v>
      </c>
      <c r="BB48" s="168" t="n">
        <v>0.00528508566909877</v>
      </c>
      <c r="BC48" s="168" t="n">
        <v>0.00456645264495552</v>
      </c>
      <c r="BD48" s="168" t="n">
        <v>4.49515939323308E-005</v>
      </c>
      <c r="BE48" s="168" t="n">
        <v>5.95940171838122E-005</v>
      </c>
      <c r="BF48" s="168" t="n">
        <v>4.57764289706366E-005</v>
      </c>
      <c r="BG48" s="168" t="n">
        <v>9.23932629747088E-005</v>
      </c>
      <c r="BH48" s="168" t="n">
        <v>9.48395874014324E-005</v>
      </c>
      <c r="BI48" s="168" t="n">
        <v>0.000108255859529974</v>
      </c>
      <c r="BJ48" s="168" t="n">
        <v>0.00175415984853606</v>
      </c>
      <c r="BK48" s="168" t="n">
        <v>0.00176351747195935</v>
      </c>
      <c r="BL48" s="168" t="n">
        <v>0.00202429261198704</v>
      </c>
      <c r="BM48" s="3" t="n">
        <v>0</v>
      </c>
      <c r="BN48" s="3" t="n">
        <v>0</v>
      </c>
      <c r="BO48" s="3" t="n">
        <v>0</v>
      </c>
      <c r="BP48" s="3" t="n">
        <v>0</v>
      </c>
      <c r="BQ48" s="3" t="n">
        <v>0</v>
      </c>
      <c r="BR48" s="3" t="n">
        <v>0</v>
      </c>
      <c r="BS48" s="169"/>
      <c r="BT48" s="169"/>
      <c r="BU48" s="169"/>
      <c r="BV48" s="169"/>
      <c r="BW48" s="169"/>
      <c r="BX48" s="169"/>
      <c r="BY48" s="169"/>
    </row>
    <row r="49" customFormat="false" ht="12.75" hidden="true" customHeight="false" outlineLevel="0" collapsed="false">
      <c r="A49" s="3" t="n">
        <v>4</v>
      </c>
      <c r="B49" s="3" t="n">
        <v>4.2</v>
      </c>
      <c r="C49" s="3" t="s">
        <v>269</v>
      </c>
      <c r="D49" s="3" t="s">
        <v>245</v>
      </c>
      <c r="E49" s="3" t="n">
        <v>0.722525241916045</v>
      </c>
      <c r="F49" s="3" t="n">
        <v>0.678780157225286</v>
      </c>
      <c r="G49" s="168" t="n">
        <v>0.642673280661264</v>
      </c>
      <c r="H49" s="3" t="n">
        <v>0.0598815574364902</v>
      </c>
      <c r="I49" s="3" t="n">
        <v>0.312933861273484</v>
      </c>
      <c r="J49" s="3" t="n">
        <v>0.345370153828836</v>
      </c>
      <c r="K49" s="3" t="n">
        <v>0.107955292625211</v>
      </c>
      <c r="L49" s="3" t="n">
        <v>4.19055243568485E-015</v>
      </c>
      <c r="M49" s="3" t="n">
        <v>0.219324637167932</v>
      </c>
      <c r="N49" s="3" t="n">
        <v>0</v>
      </c>
      <c r="O49" s="3" t="n">
        <v>0.147487177452969</v>
      </c>
      <c r="P49" s="3" t="n">
        <v>0</v>
      </c>
      <c r="Q49" s="3" t="n">
        <v>0.242358579864737</v>
      </c>
      <c r="R49" s="3" t="n">
        <v>1.45164994607753E-014</v>
      </c>
      <c r="S49" s="3" t="n">
        <v>0.11811600898994</v>
      </c>
      <c r="T49" s="3" t="n">
        <v>0</v>
      </c>
      <c r="U49" s="3" t="n">
        <v>0.187810432355205</v>
      </c>
      <c r="V49" s="3" t="n">
        <v>0</v>
      </c>
      <c r="W49" s="168" t="n">
        <v>0.000990798379729932</v>
      </c>
      <c r="X49" s="3" t="n">
        <v>0.0293915115661606</v>
      </c>
      <c r="Y49" s="168" t="n">
        <v>0.00188734804966643</v>
      </c>
      <c r="Z49" s="3" t="n">
        <v>0.0174316516089025</v>
      </c>
      <c r="AA49" s="168" t="n">
        <v>0.00125428681413041</v>
      </c>
      <c r="AB49" s="3" t="n">
        <v>0.0174449622337504</v>
      </c>
      <c r="AC49" s="3" t="n">
        <v>0.15412822193583</v>
      </c>
      <c r="AD49" s="3" t="n">
        <v>0.360237533631584</v>
      </c>
      <c r="AE49" s="3" t="n">
        <v>0.272866049251389</v>
      </c>
      <c r="AF49" s="3" t="n">
        <v>0.0600253559949407</v>
      </c>
      <c r="AG49" s="168" t="n">
        <v>1.45164994607753E-014</v>
      </c>
      <c r="AH49" s="3" t="n">
        <v>0.0474250756686133</v>
      </c>
      <c r="AI49" s="3" t="n">
        <v>9.59737948569467E-018</v>
      </c>
      <c r="AJ49" s="3" t="n">
        <v>0.0660781100317036</v>
      </c>
      <c r="AK49" s="3" t="n">
        <v>0</v>
      </c>
      <c r="AL49" s="168" t="n">
        <v>0.00404551030104591</v>
      </c>
      <c r="AM49" s="3" t="n">
        <v>0.0140037557290591</v>
      </c>
      <c r="AN49" s="168" t="n">
        <v>0.00128002455773546</v>
      </c>
      <c r="AO49" s="3" t="n">
        <v>0.0237966609166229</v>
      </c>
      <c r="AP49" s="168" t="n">
        <v>0.00547850341573612</v>
      </c>
      <c r="AQ49" s="3" t="n">
        <v>0.0252963710460726</v>
      </c>
      <c r="AR49" s="168" t="n">
        <v>0.287522336185892</v>
      </c>
      <c r="AS49" s="3" t="n">
        <v>0.013050333301314</v>
      </c>
      <c r="AT49" s="3" t="n">
        <v>0.450198315013048</v>
      </c>
      <c r="AU49" s="168" t="n">
        <v>9.17793190538003E-005</v>
      </c>
      <c r="AV49" s="168" t="n">
        <v>6.04957867734363E-005</v>
      </c>
      <c r="AW49" s="168" t="n">
        <v>6.6010999852213E-005</v>
      </c>
      <c r="AX49" s="168" t="n">
        <v>0.000745309818941299</v>
      </c>
      <c r="AY49" s="168" t="n">
        <v>0.00039077402642862</v>
      </c>
      <c r="AZ49" s="168" t="n">
        <v>0.00104637234854998</v>
      </c>
      <c r="BA49" s="3" t="n">
        <v>0.0179220360568193</v>
      </c>
      <c r="BB49" s="3" t="n">
        <v>0.00938623974007508</v>
      </c>
      <c r="BC49" s="3" t="n">
        <v>0.0250699395243012</v>
      </c>
      <c r="BD49" s="168" t="n">
        <v>0.00220626397751428</v>
      </c>
      <c r="BE49" s="168" t="n">
        <v>0.000263781811461088</v>
      </c>
      <c r="BF49" s="168" t="n">
        <v>0.00146586202555736</v>
      </c>
      <c r="BG49" s="168" t="n">
        <v>0.0039915336985162</v>
      </c>
      <c r="BH49" s="168" t="n">
        <v>0.000770532349550591</v>
      </c>
      <c r="BI49" s="168" t="n">
        <v>0.0126570902599295</v>
      </c>
      <c r="BJ49" s="168" t="n">
        <v>0.068399490228862</v>
      </c>
      <c r="BK49" s="168" t="n">
        <v>0.014929986095699</v>
      </c>
      <c r="BL49" s="3" t="n">
        <v>0.22695914879014</v>
      </c>
      <c r="BM49" s="3" t="n">
        <v>0.173073164295553</v>
      </c>
      <c r="BN49" s="3" t="n">
        <v>0</v>
      </c>
      <c r="BO49" s="3" t="n">
        <v>0.29357375668035</v>
      </c>
      <c r="BP49" s="3" t="n">
        <v>0.17306773303359</v>
      </c>
      <c r="BQ49" s="3" t="n">
        <v>0</v>
      </c>
      <c r="BR49" s="3" t="n">
        <v>0.240821408172249</v>
      </c>
      <c r="BS49" s="169"/>
      <c r="BT49" s="169"/>
      <c r="BU49" s="169"/>
      <c r="BV49" s="169"/>
      <c r="BW49" s="169"/>
      <c r="BX49" s="169"/>
      <c r="BY49" s="169"/>
    </row>
    <row r="50" customFormat="false" ht="12.75" hidden="true" customHeight="false" outlineLevel="0" collapsed="false">
      <c r="A50" s="3" t="n">
        <v>4</v>
      </c>
      <c r="B50" s="3" t="n">
        <v>4.2</v>
      </c>
      <c r="C50" s="3" t="s">
        <v>270</v>
      </c>
      <c r="D50" s="3" t="s">
        <v>245</v>
      </c>
      <c r="E50" s="3" t="n">
        <v>0.417295323832817</v>
      </c>
      <c r="F50" s="3" t="n">
        <v>0.405713697059766</v>
      </c>
      <c r="G50" s="3" t="n">
        <v>0.380468340657662</v>
      </c>
      <c r="H50" s="3" t="n">
        <v>0.0359019454379792</v>
      </c>
      <c r="I50" s="3" t="n">
        <v>0.241718180312497</v>
      </c>
      <c r="J50" s="3" t="n">
        <v>0.254083591398892</v>
      </c>
      <c r="K50" s="3" t="n">
        <v>0.0941891630086057</v>
      </c>
      <c r="L50" s="3" t="n">
        <v>4.38258464004065E-015</v>
      </c>
      <c r="M50" s="3" t="n">
        <v>0.172148088187656</v>
      </c>
      <c r="N50" s="3" t="n">
        <v>0</v>
      </c>
      <c r="O50" s="3" t="n">
        <v>0.0994486393550242</v>
      </c>
      <c r="P50" s="3" t="n">
        <v>0</v>
      </c>
      <c r="Q50" s="3" t="n">
        <v>0.161333696128634</v>
      </c>
      <c r="R50" s="3" t="n">
        <v>1.45164994607753E-014</v>
      </c>
      <c r="S50" s="3" t="n">
        <v>0.0837979028308028</v>
      </c>
      <c r="T50" s="3" t="n">
        <v>0</v>
      </c>
      <c r="U50" s="3" t="n">
        <v>0.147260458812642</v>
      </c>
      <c r="V50" s="3" t="n">
        <v>0</v>
      </c>
      <c r="W50" s="168" t="n">
        <v>0.000499947063212148</v>
      </c>
      <c r="X50" s="3" t="n">
        <v>0.0250659376365163</v>
      </c>
      <c r="Y50" s="3" t="n">
        <v>0.00105854509998187</v>
      </c>
      <c r="Z50" s="3" t="n">
        <v>0.0131404206810319</v>
      </c>
      <c r="AA50" s="3" t="n">
        <v>0.00112857646643001</v>
      </c>
      <c r="AB50" s="3" t="n">
        <v>0.0136302758112475</v>
      </c>
      <c r="AC50" s="3" t="n">
        <v>0.116859685759454</v>
      </c>
      <c r="AD50" s="3" t="n">
        <v>0.199536456463392</v>
      </c>
      <c r="AE50" s="3" t="n">
        <v>0.215950650198161</v>
      </c>
      <c r="AF50" s="3" t="n">
        <v>0.0446284512407191</v>
      </c>
      <c r="AG50" s="168" t="n">
        <v>1.45164994607753E-014</v>
      </c>
      <c r="AH50" s="3" t="n">
        <v>0.0370605519406413</v>
      </c>
      <c r="AI50" s="3" t="n">
        <v>1.15748751726193E-017</v>
      </c>
      <c r="AJ50" s="3" t="n">
        <v>0.0416481439553746</v>
      </c>
      <c r="AK50" s="3" t="n">
        <v>0</v>
      </c>
      <c r="AL50" s="3" t="n">
        <v>0.00183241190402552</v>
      </c>
      <c r="AM50" s="3" t="n">
        <v>0.0203723879407163</v>
      </c>
      <c r="AN50" s="3" t="n">
        <v>0.00110186127944059</v>
      </c>
      <c r="AO50" s="3" t="n">
        <v>0.0257866353960891</v>
      </c>
      <c r="AP50" s="3" t="n">
        <v>0.00426740013261996</v>
      </c>
      <c r="AQ50" s="3" t="n">
        <v>0.010630680034867</v>
      </c>
      <c r="AR50" s="3" t="n">
        <v>0.20487676223433</v>
      </c>
      <c r="AS50" s="3" t="n">
        <v>0.0141778201703418</v>
      </c>
      <c r="AT50" s="3" t="n">
        <v>0.371651462777651</v>
      </c>
      <c r="AU50" s="168" t="n">
        <v>4.48382988464186E-005</v>
      </c>
      <c r="AV50" s="168" t="n">
        <v>6.75275225689655E-005</v>
      </c>
      <c r="AW50" s="168" t="n">
        <v>8.4174470294383E-005</v>
      </c>
      <c r="AX50" s="3" t="n">
        <v>0.00041547127020209</v>
      </c>
      <c r="AY50" s="168" t="n">
        <v>0.000431488296901002</v>
      </c>
      <c r="AZ50" s="168" t="n">
        <v>0.000420968752856627</v>
      </c>
      <c r="BA50" s="3" t="n">
        <v>0.0100247125802436</v>
      </c>
      <c r="BB50" s="3" t="n">
        <v>0.0103753174461764</v>
      </c>
      <c r="BC50" s="3" t="n">
        <v>0.0101380968051715</v>
      </c>
      <c r="BD50" s="168" t="n">
        <v>0.000869750200644732</v>
      </c>
      <c r="BE50" s="168" t="n">
        <v>0.000102993928342919</v>
      </c>
      <c r="BF50" s="3" t="n">
        <v>0.000148918115812257</v>
      </c>
      <c r="BG50" s="168" t="n">
        <v>0.00343193330330489</v>
      </c>
      <c r="BH50" s="3" t="n">
        <v>0.000915188743366324</v>
      </c>
      <c r="BI50" s="168" t="n">
        <v>0.0017258684000607</v>
      </c>
      <c r="BJ50" s="3" t="n">
        <v>0.0600779851865226</v>
      </c>
      <c r="BK50" s="3" t="n">
        <v>0.016343131542617</v>
      </c>
      <c r="BL50" s="3" t="n">
        <v>0.0312869858530032</v>
      </c>
      <c r="BM50" s="3" t="n">
        <v>0.0742154710374094</v>
      </c>
      <c r="BN50" s="3" t="n">
        <v>0</v>
      </c>
      <c r="BO50" s="3" t="n">
        <v>0.168274243467297</v>
      </c>
      <c r="BP50" s="3" t="n">
        <v>0.141927373736568</v>
      </c>
      <c r="BQ50" s="3" t="n">
        <v>0</v>
      </c>
      <c r="BR50" s="3" t="n">
        <v>0.285510558250097</v>
      </c>
      <c r="BS50" s="169"/>
      <c r="BT50" s="169"/>
      <c r="BU50" s="169"/>
      <c r="BV50" s="169"/>
      <c r="BW50" s="169"/>
      <c r="BX50" s="169"/>
      <c r="BY50" s="169"/>
    </row>
    <row r="51" customFormat="false" ht="12.75" hidden="true" customHeight="false" outlineLevel="0" collapsed="false">
      <c r="A51" s="3" t="n">
        <v>4</v>
      </c>
      <c r="B51" s="3" t="n">
        <v>4.2</v>
      </c>
      <c r="C51" s="3" t="s">
        <v>271</v>
      </c>
      <c r="D51" s="3" t="s">
        <v>245</v>
      </c>
      <c r="E51" s="3" t="n">
        <v>0.374309114943389</v>
      </c>
      <c r="F51" s="3" t="n">
        <v>0.378322335258929</v>
      </c>
      <c r="G51" s="3" t="n">
        <v>0.337621293472848</v>
      </c>
      <c r="H51" s="3" t="n">
        <v>0.0794232229026117</v>
      </c>
      <c r="I51" s="3" t="n">
        <v>0.268495074784573</v>
      </c>
      <c r="J51" s="3" t="n">
        <v>0.260361031438233</v>
      </c>
      <c r="K51" s="3" t="n">
        <v>0.348127818838532</v>
      </c>
      <c r="L51" s="3" t="n">
        <v>4.68518005473432E-015</v>
      </c>
      <c r="M51" s="3" t="n">
        <v>0.581655623765435</v>
      </c>
      <c r="N51" s="3" t="n">
        <v>0</v>
      </c>
      <c r="O51" s="3" t="n">
        <v>0.344726253536808</v>
      </c>
      <c r="P51" s="3" t="n">
        <v>0</v>
      </c>
      <c r="Q51" s="3" t="n">
        <v>0.633435727015884</v>
      </c>
      <c r="R51" s="3" t="n">
        <v>1.02647152078051E-014</v>
      </c>
      <c r="S51" s="3" t="n">
        <v>0.37775953460184</v>
      </c>
      <c r="T51" s="3" t="n">
        <v>0</v>
      </c>
      <c r="U51" s="3" t="n">
        <v>0.639289190134775</v>
      </c>
      <c r="V51" s="3" t="n">
        <v>0</v>
      </c>
      <c r="W51" s="168" t="n">
        <v>0.00188101859077479</v>
      </c>
      <c r="X51" s="3" t="n">
        <v>0.0350928417049304</v>
      </c>
      <c r="Y51" s="168" t="n">
        <v>0.00341552303019364</v>
      </c>
      <c r="Z51" s="3" t="n">
        <v>0.0350916343421968</v>
      </c>
      <c r="AA51" s="168" t="n">
        <v>0.00240986324272215</v>
      </c>
      <c r="AB51" s="3" t="n">
        <v>0.0258558372430079</v>
      </c>
      <c r="AC51" s="3" t="n">
        <v>0.128984823641042</v>
      </c>
      <c r="AD51" s="3" t="n">
        <v>0.197354772200081</v>
      </c>
      <c r="AE51" s="3" t="n">
        <v>0.179298426668499</v>
      </c>
      <c r="AF51" s="3" t="n">
        <v>0.148284274137622</v>
      </c>
      <c r="AG51" s="3" t="n">
        <v>5.13235760390255E-015</v>
      </c>
      <c r="AH51" s="3" t="n">
        <v>0.160661736520815</v>
      </c>
      <c r="AI51" s="3" t="n">
        <v>9.15074229440297E-018</v>
      </c>
      <c r="AJ51" s="3" t="n">
        <v>0.160822197680128</v>
      </c>
      <c r="AK51" s="3" t="n">
        <v>0</v>
      </c>
      <c r="AL51" s="3" t="n">
        <v>0.00715141366722067</v>
      </c>
      <c r="AM51" s="3" t="n">
        <v>0.0189154663114827</v>
      </c>
      <c r="AN51" s="3" t="n">
        <v>0.00166264671942751</v>
      </c>
      <c r="AO51" s="3" t="n">
        <v>0.0355723583103951</v>
      </c>
      <c r="AP51" s="3" t="n">
        <v>0.00978447400904224</v>
      </c>
      <c r="AQ51" s="3" t="n">
        <v>0.0282342950084197</v>
      </c>
      <c r="AR51" s="3" t="n">
        <v>0.142200557692194</v>
      </c>
      <c r="AS51" s="3" t="n">
        <v>0.00700515069301756</v>
      </c>
      <c r="AT51" s="3" t="n">
        <v>0.329633301553022</v>
      </c>
      <c r="AU51" s="3" t="n">
        <v>6.71562999529252E-005</v>
      </c>
      <c r="AV51" s="3" t="n">
        <v>8.45758368211693E-005</v>
      </c>
      <c r="AW51" s="3" t="n">
        <v>0.000117314434104077</v>
      </c>
      <c r="AX51" s="3" t="n">
        <v>0.000481396016167669</v>
      </c>
      <c r="AY51" s="168" t="n">
        <v>0.000355416626665452</v>
      </c>
      <c r="AZ51" s="3" t="n">
        <v>0.000564954355068811</v>
      </c>
      <c r="BA51" s="3" t="n">
        <v>0.0115883367438158</v>
      </c>
      <c r="BB51" s="3" t="n">
        <v>0.00852297090111332</v>
      </c>
      <c r="BC51" s="3" t="n">
        <v>0.0135654607860806</v>
      </c>
      <c r="BD51" s="3" t="n">
        <v>0.000553302558882951</v>
      </c>
      <c r="BE51" s="3" t="n">
        <v>7.95466119837366E-005</v>
      </c>
      <c r="BF51" s="3" t="n">
        <v>0.000193949401552336</v>
      </c>
      <c r="BG51" s="3" t="n">
        <v>0.000922823336702212</v>
      </c>
      <c r="BH51" s="3" t="n">
        <v>0.000475883567443933</v>
      </c>
      <c r="BI51" s="3" t="n">
        <v>0.00177079161850487</v>
      </c>
      <c r="BJ51" s="3" t="n">
        <v>0.0155958613016839</v>
      </c>
      <c r="BK51" s="3" t="n">
        <v>0.00862417929918175</v>
      </c>
      <c r="BL51" s="3" t="n">
        <v>0.0318431107580907</v>
      </c>
      <c r="BM51" s="3" t="n">
        <v>0.0961108389570907</v>
      </c>
      <c r="BN51" s="3" t="n">
        <v>0</v>
      </c>
      <c r="BO51" s="3" t="n">
        <v>0.193746135714151</v>
      </c>
      <c r="BP51" s="3" t="n">
        <v>0.102601098405535</v>
      </c>
      <c r="BQ51" s="3" t="n">
        <v>0</v>
      </c>
      <c r="BR51" s="3" t="n">
        <v>0.230873317378891</v>
      </c>
      <c r="BS51" s="169"/>
      <c r="BT51" s="169"/>
      <c r="BU51" s="169"/>
      <c r="BV51" s="169"/>
      <c r="BW51" s="169"/>
      <c r="BX51" s="169"/>
      <c r="BY51" s="169"/>
    </row>
    <row r="52" customFormat="false" ht="12.75" hidden="true" customHeight="false" outlineLevel="0" collapsed="false">
      <c r="A52" s="3" t="n">
        <v>4</v>
      </c>
      <c r="B52" s="3" t="n">
        <v>4.3</v>
      </c>
      <c r="C52" s="3" t="s">
        <v>272</v>
      </c>
      <c r="D52" s="3" t="s">
        <v>245</v>
      </c>
      <c r="E52" s="3" t="n">
        <v>0.984881286264498</v>
      </c>
      <c r="F52" s="3" t="n">
        <v>0.859816706388551</v>
      </c>
      <c r="G52" s="3" t="n">
        <v>0.780562986067549</v>
      </c>
      <c r="H52" s="3" t="n">
        <v>0.168897837983043</v>
      </c>
      <c r="I52" s="3" t="n">
        <v>0.314818853643002</v>
      </c>
      <c r="J52" s="3" t="n">
        <v>0.379614692300775</v>
      </c>
      <c r="K52" s="3" t="n">
        <v>0.137127204702668</v>
      </c>
      <c r="L52" s="168" t="n">
        <v>3.84926820292691E-015</v>
      </c>
      <c r="M52" s="3" t="n">
        <v>0.264186593477383</v>
      </c>
      <c r="N52" s="3" t="n">
        <v>0</v>
      </c>
      <c r="O52" s="3" t="n">
        <v>0.171263338843679</v>
      </c>
      <c r="P52" s="3" t="n">
        <v>0</v>
      </c>
      <c r="Q52" s="3" t="n">
        <v>0.292832859994826</v>
      </c>
      <c r="R52" s="168" t="n">
        <v>1.32516903511304E-014</v>
      </c>
      <c r="S52" s="3" t="n">
        <v>0.151501707090871</v>
      </c>
      <c r="T52" s="3" t="n">
        <v>0</v>
      </c>
      <c r="U52" s="3" t="n">
        <v>0.240318269812754</v>
      </c>
      <c r="V52" s="3" t="n">
        <v>0</v>
      </c>
      <c r="W52" s="168" t="n">
        <v>0.000758271087188937</v>
      </c>
      <c r="X52" s="3" t="n">
        <v>0.0254262471747277</v>
      </c>
      <c r="Y52" s="168" t="n">
        <v>0.00117270410414115</v>
      </c>
      <c r="Z52" s="3" t="n">
        <v>0.0207920003392807</v>
      </c>
      <c r="AA52" s="3" t="n">
        <v>0.00126943533147505</v>
      </c>
      <c r="AB52" s="3" t="n">
        <v>0.023987366341881</v>
      </c>
      <c r="AC52" s="3" t="n">
        <v>0.181575589383998</v>
      </c>
      <c r="AD52" s="3" t="n">
        <v>0.433401108696752</v>
      </c>
      <c r="AE52" s="3" t="n">
        <v>0.457341125269789</v>
      </c>
      <c r="AF52" s="3" t="n">
        <v>0.0667609528331369</v>
      </c>
      <c r="AG52" s="168" t="n">
        <v>1.45164994607753E-014</v>
      </c>
      <c r="AH52" s="3" t="n">
        <v>0.0635734623275984</v>
      </c>
      <c r="AI52" s="3" t="n">
        <v>5.42909769276429E-017</v>
      </c>
      <c r="AJ52" s="3" t="n">
        <v>0.0715501648232348</v>
      </c>
      <c r="AK52" s="168" t="n">
        <v>0</v>
      </c>
      <c r="AL52" s="3" t="n">
        <v>0.00131894946401416</v>
      </c>
      <c r="AM52" s="3" t="n">
        <v>0.033413337232507</v>
      </c>
      <c r="AN52" s="3" t="n">
        <v>0.00295192443655495</v>
      </c>
      <c r="AO52" s="3" t="n">
        <v>0.0243632130975755</v>
      </c>
      <c r="AP52" s="3" t="n">
        <v>0.00532562031126044</v>
      </c>
      <c r="AQ52" s="3" t="n">
        <v>0.0388089841568441</v>
      </c>
      <c r="AR52" s="3" t="n">
        <v>0.113696907810434</v>
      </c>
      <c r="AS52" s="3" t="n">
        <v>0.281860129399187</v>
      </c>
      <c r="AT52" s="3" t="n">
        <v>0.711027720022631</v>
      </c>
      <c r="AU52" s="3" t="n">
        <v>6.9284336959171E-005</v>
      </c>
      <c r="AV52" s="3" t="n">
        <v>4.7971494404307E-005</v>
      </c>
      <c r="AW52" s="3" t="n">
        <v>0.000122141783852134</v>
      </c>
      <c r="AX52" s="3" t="n">
        <v>0.000531230739033979</v>
      </c>
      <c r="AY52" s="3" t="n">
        <v>0.000443305372772933</v>
      </c>
      <c r="AZ52" s="3" t="n">
        <v>0.000451492101432923</v>
      </c>
      <c r="BA52" s="3" t="n">
        <v>0.012796836685933</v>
      </c>
      <c r="BB52" s="3" t="n">
        <v>0.0106305896733928</v>
      </c>
      <c r="BC52" s="3" t="n">
        <v>0.0107867572478953</v>
      </c>
      <c r="BD52" s="3" t="n">
        <v>0.00158289288018541</v>
      </c>
      <c r="BE52" s="3" t="n">
        <v>0.000120173554448058</v>
      </c>
      <c r="BF52" s="3" t="n">
        <v>0.00216681041264529</v>
      </c>
      <c r="BG52" s="3" t="n">
        <v>0.00308862239498408</v>
      </c>
      <c r="BH52" s="3" t="n">
        <v>0.00059838220783235</v>
      </c>
      <c r="BI52" s="3" t="n">
        <v>0.0198028777864983</v>
      </c>
      <c r="BJ52" s="3" t="n">
        <v>0.0562206871897817</v>
      </c>
      <c r="BK52" s="3" t="n">
        <v>0.0109643509579436</v>
      </c>
      <c r="BL52" s="3" t="n">
        <v>0.355470005755057</v>
      </c>
      <c r="BM52" s="3" t="n">
        <v>0.0800331113542616</v>
      </c>
      <c r="BN52" s="3" t="n">
        <v>0</v>
      </c>
      <c r="BO52" s="3" t="n">
        <v>0.166304635786429</v>
      </c>
      <c r="BP52" s="3" t="n">
        <v>0</v>
      </c>
      <c r="BQ52" s="3" t="n">
        <v>0.262244667918049</v>
      </c>
      <c r="BR52" s="3" t="n">
        <v>0.441763076579304</v>
      </c>
      <c r="BS52" s="169"/>
      <c r="BT52" s="169"/>
      <c r="BU52" s="169"/>
      <c r="BV52" s="169"/>
      <c r="BW52" s="169"/>
      <c r="BX52" s="169"/>
      <c r="BY52" s="169"/>
    </row>
    <row r="53" customFormat="false" ht="12.75" hidden="true" customHeight="false" outlineLevel="0" collapsed="false">
      <c r="A53" s="3" t="n">
        <v>4</v>
      </c>
      <c r="B53" s="3" t="n">
        <v>4.3</v>
      </c>
      <c r="C53" s="3" t="s">
        <v>273</v>
      </c>
      <c r="D53" s="3" t="s">
        <v>245</v>
      </c>
      <c r="E53" s="3" t="n">
        <v>0.936634829811845</v>
      </c>
      <c r="F53" s="3" t="n">
        <v>0.86023601500199</v>
      </c>
      <c r="G53" s="3" t="n">
        <v>0.776570405910596</v>
      </c>
      <c r="H53" s="3" t="n">
        <v>0.11933787440149</v>
      </c>
      <c r="I53" s="3" t="n">
        <v>0.326165405295503</v>
      </c>
      <c r="J53" s="3" t="n">
        <v>0.361617269096032</v>
      </c>
      <c r="K53" s="3" t="n">
        <v>0.0966826350091761</v>
      </c>
      <c r="L53" s="168" t="n">
        <v>3.62912486519383E-015</v>
      </c>
      <c r="M53" s="3" t="n">
        <v>0.180730352830012</v>
      </c>
      <c r="N53" s="3" t="n">
        <v>0</v>
      </c>
      <c r="O53" s="3" t="n">
        <v>0.111957000515784</v>
      </c>
      <c r="P53" s="3" t="n">
        <v>0</v>
      </c>
      <c r="Q53" s="3" t="n">
        <v>0.178660876880021</v>
      </c>
      <c r="R53" s="168" t="n">
        <v>1.45164994607753E-014</v>
      </c>
      <c r="S53" s="3" t="n">
        <v>0.097510797168788</v>
      </c>
      <c r="T53" s="3" t="n">
        <v>0</v>
      </c>
      <c r="U53" s="3" t="n">
        <v>0.172080001059091</v>
      </c>
      <c r="V53" s="3" t="n">
        <v>0</v>
      </c>
      <c r="W53" s="3" t="n">
        <v>0.000912022302954828</v>
      </c>
      <c r="X53" s="3" t="n">
        <v>0.0329103747888784</v>
      </c>
      <c r="Y53" s="168" t="n">
        <v>0.00130402174959078</v>
      </c>
      <c r="Z53" s="3" t="n">
        <v>0.0271483659514846</v>
      </c>
      <c r="AA53" s="168" t="n">
        <v>0.00116033168159123</v>
      </c>
      <c r="AB53" s="3" t="n">
        <v>0.0168499609793915</v>
      </c>
      <c r="AC53" s="3" t="n">
        <v>0.347512790354747</v>
      </c>
      <c r="AD53" s="3" t="n">
        <v>0.267474421075565</v>
      </c>
      <c r="AE53" s="3" t="n">
        <v>0.412721159853201</v>
      </c>
      <c r="AF53" s="3" t="n">
        <v>0.0456662867989071</v>
      </c>
      <c r="AG53" s="168" t="n">
        <v>8.3811048713697E-015</v>
      </c>
      <c r="AH53" s="3" t="n">
        <v>0.0416391462883577</v>
      </c>
      <c r="AI53" s="3" t="n">
        <v>3.83895179427787E-017</v>
      </c>
      <c r="AJ53" s="3" t="n">
        <v>0.0447714318527457</v>
      </c>
      <c r="AK53" s="168" t="n">
        <v>0</v>
      </c>
      <c r="AL53" s="3" t="n">
        <v>0.00217032953431866</v>
      </c>
      <c r="AM53" s="3" t="n">
        <v>0.0265294954054195</v>
      </c>
      <c r="AN53" s="3" t="n">
        <v>0.00303756045360001</v>
      </c>
      <c r="AO53" s="3" t="n">
        <v>0.0294681722007283</v>
      </c>
      <c r="AP53" s="3" t="n">
        <v>0.00401087896438646</v>
      </c>
      <c r="AQ53" s="3" t="n">
        <v>0.0170564070485686</v>
      </c>
      <c r="AR53" s="3" t="n">
        <v>0.186508853797684</v>
      </c>
      <c r="AS53" s="3" t="n">
        <v>0.523540018186515</v>
      </c>
      <c r="AT53" s="3" t="n">
        <v>0.352897135991924</v>
      </c>
      <c r="AU53" s="3" t="n">
        <v>0.000138239174171089</v>
      </c>
      <c r="AV53" s="3" t="n">
        <v>6.54186694971524E-005</v>
      </c>
      <c r="AW53" s="3" t="n">
        <v>4.59183490838495E-005</v>
      </c>
      <c r="AX53" s="3" t="n">
        <v>0.0007417980461535</v>
      </c>
      <c r="AY53" s="3" t="n">
        <v>0.000353870339211491</v>
      </c>
      <c r="AZ53" s="3" t="n">
        <v>0.000433338195996887</v>
      </c>
      <c r="BA53" s="3" t="n">
        <v>0.0177518417903993</v>
      </c>
      <c r="BB53" s="3" t="n">
        <v>0.0084956195354709</v>
      </c>
      <c r="BC53" s="3" t="n">
        <v>0.0103886664002819</v>
      </c>
      <c r="BD53" s="3" t="n">
        <v>0.00128516530011509</v>
      </c>
      <c r="BE53" s="3" t="n">
        <v>9.52545742373834E-005</v>
      </c>
      <c r="BF53" s="3" t="n">
        <v>0.000621068905545395</v>
      </c>
      <c r="BG53" s="3" t="n">
        <v>0.00546518729604685</v>
      </c>
      <c r="BH53" s="3" t="n">
        <v>0.000520554560801138</v>
      </c>
      <c r="BI53" s="3" t="n">
        <v>0.00559003485977578</v>
      </c>
      <c r="BJ53" s="3" t="n">
        <v>0.095821282870417</v>
      </c>
      <c r="BK53" s="3" t="n">
        <v>0.00956398741102094</v>
      </c>
      <c r="BL53" s="3" t="n">
        <v>0.100282814816748</v>
      </c>
      <c r="BM53" s="3" t="n">
        <v>0.12070052921849</v>
      </c>
      <c r="BN53" s="3" t="n">
        <v>0</v>
      </c>
      <c r="BO53" s="3" t="n">
        <v>0.17440484167539</v>
      </c>
      <c r="BP53" s="3" t="n">
        <v>0</v>
      </c>
      <c r="BQ53" s="3" t="n">
        <v>0.446851321076322</v>
      </c>
      <c r="BR53" s="3" t="n">
        <v>0.267870791159356</v>
      </c>
      <c r="BS53" s="169"/>
      <c r="BT53" s="169"/>
      <c r="BU53" s="169"/>
      <c r="BV53" s="169"/>
      <c r="BW53" s="169"/>
      <c r="BX53" s="169"/>
      <c r="BY53" s="169"/>
    </row>
    <row r="54" customFormat="false" ht="12.75" hidden="true" customHeight="false" outlineLevel="0" collapsed="false">
      <c r="A54" s="3" t="n">
        <v>4</v>
      </c>
      <c r="B54" s="3" t="n">
        <v>4.3</v>
      </c>
      <c r="C54" s="3" t="s">
        <v>274</v>
      </c>
      <c r="D54" s="3" t="s">
        <v>245</v>
      </c>
      <c r="E54" s="3" t="n">
        <v>1.02897926561553</v>
      </c>
      <c r="F54" s="3" t="n">
        <v>1.09457135630371</v>
      </c>
      <c r="G54" s="3" t="n">
        <v>0.910346215820465</v>
      </c>
      <c r="H54" s="3" t="n">
        <v>0.155175861637005</v>
      </c>
      <c r="I54" s="3" t="n">
        <v>0.519710423391264</v>
      </c>
      <c r="J54" s="3" t="n">
        <v>0.549040071459784</v>
      </c>
      <c r="K54" s="3" t="n">
        <v>0.111879577726761</v>
      </c>
      <c r="L54" s="168" t="n">
        <v>4.19055243568485E-015</v>
      </c>
      <c r="M54" s="3" t="n">
        <v>0.242920151937621</v>
      </c>
      <c r="N54" s="3" t="n">
        <v>0</v>
      </c>
      <c r="O54" s="3" t="n">
        <v>0.158780779939709</v>
      </c>
      <c r="P54" s="3" t="n">
        <v>0</v>
      </c>
      <c r="Q54" s="3" t="n">
        <v>0.227358323126577</v>
      </c>
      <c r="R54" s="168" t="n">
        <v>1.45164994607753E-014</v>
      </c>
      <c r="S54" s="3" t="n">
        <v>0.102584363020063</v>
      </c>
      <c r="T54" s="3" t="n">
        <v>0</v>
      </c>
      <c r="U54" s="3" t="n">
        <v>0.18479105527635</v>
      </c>
      <c r="V54" s="3" t="n">
        <v>0</v>
      </c>
      <c r="W54" s="3" t="n">
        <v>0.000981869408322753</v>
      </c>
      <c r="X54" s="3" t="n">
        <v>0.0259962187246411</v>
      </c>
      <c r="Y54" s="168" t="n">
        <v>0.00290753873291585</v>
      </c>
      <c r="Z54" s="3" t="n">
        <v>0.0299392247472495</v>
      </c>
      <c r="AA54" s="3" t="n">
        <v>0.00300694355190579</v>
      </c>
      <c r="AB54" s="3" t="n">
        <v>0.0294937060192189</v>
      </c>
      <c r="AC54" s="3" t="n">
        <v>0.235784898558845</v>
      </c>
      <c r="AD54" s="3" t="n">
        <v>0.497429319252685</v>
      </c>
      <c r="AE54" s="3" t="n">
        <v>0.626549363547929</v>
      </c>
      <c r="AF54" s="3" t="n">
        <v>0.0619427883240849</v>
      </c>
      <c r="AG54" s="168" t="n">
        <v>6.6258451755652E-015</v>
      </c>
      <c r="AH54" s="3" t="n">
        <v>0.0478093226006845</v>
      </c>
      <c r="AI54" s="3" t="n">
        <v>3.27386909037879E-017</v>
      </c>
      <c r="AJ54" s="3" t="n">
        <v>0.0447182319268882</v>
      </c>
      <c r="AK54" s="168" t="n">
        <v>0</v>
      </c>
      <c r="AL54" s="3" t="n">
        <v>0.00182055902355866</v>
      </c>
      <c r="AM54" s="3" t="n">
        <v>0.0241303215601321</v>
      </c>
      <c r="AN54" s="3" t="n">
        <v>0.00394495581106196</v>
      </c>
      <c r="AO54" s="3" t="n">
        <v>0.0254093562775658</v>
      </c>
      <c r="AP54" s="3" t="n">
        <v>0.0137533679010749</v>
      </c>
      <c r="AQ54" s="3" t="n">
        <v>0.0912116844557131</v>
      </c>
      <c r="AR54" s="3" t="n">
        <v>0.10114688260578</v>
      </c>
      <c r="AS54" s="3" t="n">
        <v>0.465587089168081</v>
      </c>
      <c r="AT54" s="3" t="n">
        <v>1.15131324689477</v>
      </c>
      <c r="AU54" s="3" t="n">
        <v>6.94535059782038E-005</v>
      </c>
      <c r="AV54" s="3" t="n">
        <v>6.18203515798549E-005</v>
      </c>
      <c r="AW54" s="3" t="n">
        <v>6.3122456900037E-005</v>
      </c>
      <c r="AX54" s="3" t="n">
        <v>0.000490901970965113</v>
      </c>
      <c r="AY54" s="3" t="n">
        <v>0.000317310138621576</v>
      </c>
      <c r="AZ54" s="3" t="n">
        <v>0.000466957669222489</v>
      </c>
      <c r="BA54" s="3" t="n">
        <v>0.0118126192962282</v>
      </c>
      <c r="BB54" s="3" t="n">
        <v>0.00762949788767115</v>
      </c>
      <c r="BC54" s="3" t="n">
        <v>0.011226782047386</v>
      </c>
      <c r="BD54" s="3" t="n">
        <v>0.00102648448755337</v>
      </c>
      <c r="BE54" s="3" t="n">
        <v>0.000106116949088519</v>
      </c>
      <c r="BF54" s="3" t="n">
        <v>0.00534971700689293</v>
      </c>
      <c r="BG54" s="3" t="n">
        <v>0.00124181762085337</v>
      </c>
      <c r="BH54" s="3" t="n">
        <v>0.000816575068542187</v>
      </c>
      <c r="BI54" s="3" t="n">
        <v>0.0519455794013185</v>
      </c>
      <c r="BJ54" s="3" t="n">
        <v>0.023219503480104</v>
      </c>
      <c r="BK54" s="3" t="n">
        <v>0.0146107017755125</v>
      </c>
      <c r="BL54" s="3" t="n">
        <v>0.933131047823192</v>
      </c>
      <c r="BM54" s="3" t="n">
        <v>0.103645007552609</v>
      </c>
      <c r="BN54" s="3" t="n">
        <v>0</v>
      </c>
      <c r="BO54" s="3" t="n">
        <v>0.12813276443423</v>
      </c>
      <c r="BP54" s="3" t="n">
        <v>0</v>
      </c>
      <c r="BQ54" s="3" t="n">
        <v>0.463241951754194</v>
      </c>
      <c r="BR54" s="3" t="n">
        <v>0.368307481806823</v>
      </c>
      <c r="BS54" s="169"/>
      <c r="BT54" s="169"/>
      <c r="BU54" s="169"/>
      <c r="BV54" s="169"/>
      <c r="BW54" s="169"/>
      <c r="BX54" s="169"/>
      <c r="BY54" s="169"/>
    </row>
    <row r="55" customFormat="false" ht="12.75" hidden="true" customHeight="false" outlineLevel="0" collapsed="false">
      <c r="A55" s="3" t="n">
        <v>4</v>
      </c>
      <c r="B55" s="3" t="n">
        <v>4.4</v>
      </c>
      <c r="C55" s="3" t="s">
        <v>275</v>
      </c>
      <c r="D55" s="3" t="s">
        <v>245</v>
      </c>
      <c r="E55" s="3" t="n">
        <v>1.64338828662246</v>
      </c>
      <c r="F55" s="3" t="n">
        <v>1.58198356572358</v>
      </c>
      <c r="G55" s="3" t="n">
        <v>1.59495369170931</v>
      </c>
      <c r="H55" s="3" t="n">
        <v>0.0644305905382347</v>
      </c>
      <c r="I55" s="3" t="n">
        <v>0.290684169571645</v>
      </c>
      <c r="J55" s="3" t="n">
        <v>0.304778431474259</v>
      </c>
      <c r="K55" s="3" t="n">
        <v>0.0928760996033793</v>
      </c>
      <c r="L55" s="3" t="n">
        <v>4.38258464004065E-015</v>
      </c>
      <c r="M55" s="3" t="n">
        <v>0.134489722442843</v>
      </c>
      <c r="N55" s="3" t="n">
        <v>0</v>
      </c>
      <c r="O55" s="3" t="n">
        <v>0.0766210313911855</v>
      </c>
      <c r="P55" s="3" t="n">
        <v>0</v>
      </c>
      <c r="Q55" s="3" t="n">
        <v>0.141307693050368</v>
      </c>
      <c r="R55" s="3" t="n">
        <v>1.02647152078051E-014</v>
      </c>
      <c r="S55" s="3" t="n">
        <v>0.0745407901172494</v>
      </c>
      <c r="T55" s="3" t="n">
        <v>0</v>
      </c>
      <c r="U55" s="3" t="n">
        <v>0.148640430859943</v>
      </c>
      <c r="V55" s="3" t="n">
        <v>0</v>
      </c>
      <c r="W55" s="3" t="n">
        <v>0.00300873100447994</v>
      </c>
      <c r="X55" s="3" t="n">
        <v>0.0190404245378471</v>
      </c>
      <c r="Y55" s="3" t="n">
        <v>0.00187876082588219</v>
      </c>
      <c r="Z55" s="3" t="n">
        <v>0.0190460992814354</v>
      </c>
      <c r="AA55" s="3" t="n">
        <v>0.00184194412697131</v>
      </c>
      <c r="AB55" s="3" t="n">
        <v>0.0387350173356826</v>
      </c>
      <c r="AC55" s="3" t="n">
        <v>0.682803264724797</v>
      </c>
      <c r="AD55" s="3" t="n">
        <v>0.516156161042954</v>
      </c>
      <c r="AE55" s="3" t="n">
        <v>0.466308812380399</v>
      </c>
      <c r="AF55" s="3" t="n">
        <v>0.0350146490151228</v>
      </c>
      <c r="AG55" s="3" t="n">
        <v>1.45164994607753E-014</v>
      </c>
      <c r="AH55" s="3" t="n">
        <v>0.0398697256745319</v>
      </c>
      <c r="AI55" s="3" t="n">
        <v>5.55111512312578E-017</v>
      </c>
      <c r="AJ55" s="3" t="n">
        <v>0.0354453023706247</v>
      </c>
      <c r="AK55" s="3" t="n">
        <v>0</v>
      </c>
      <c r="AL55" s="3" t="n">
        <v>0.00732288489848407</v>
      </c>
      <c r="AM55" s="3" t="n">
        <v>0.0218319058610846</v>
      </c>
      <c r="AN55" s="3" t="n">
        <v>0.00751716177219007</v>
      </c>
      <c r="AO55" s="3" t="n">
        <v>0.0191152891717284</v>
      </c>
      <c r="AP55" s="3" t="n">
        <v>0.000870214721753531</v>
      </c>
      <c r="AQ55" s="3" t="n">
        <v>0.0225044828188394</v>
      </c>
      <c r="AR55" s="3" t="n">
        <v>0.796012933190013</v>
      </c>
      <c r="AS55" s="3" t="n">
        <v>0.790084869737668</v>
      </c>
      <c r="AT55" s="3" t="n">
        <v>0.0648374036742476</v>
      </c>
      <c r="AU55" s="3" t="n">
        <v>0.000262517602309825</v>
      </c>
      <c r="AV55" s="3" t="n">
        <v>5.45309478680789E-005</v>
      </c>
      <c r="AW55" s="3" t="n">
        <v>0.000252878963428057</v>
      </c>
      <c r="AX55" s="3" t="n">
        <v>0.000932661347124699</v>
      </c>
      <c r="AY55" s="3" t="n">
        <v>0.000370738759767546</v>
      </c>
      <c r="AZ55" s="3" t="n">
        <v>0.000393173599310464</v>
      </c>
      <c r="BA55" s="3" t="n">
        <v>0.0226065522067542</v>
      </c>
      <c r="BB55" s="3" t="n">
        <v>0.00889802941812869</v>
      </c>
      <c r="BC55" s="3" t="n">
        <v>0.00952901483048505</v>
      </c>
      <c r="BD55" s="3" t="n">
        <v>0.000653810827357736</v>
      </c>
      <c r="BE55" s="3" t="n">
        <v>0.000126422631434986</v>
      </c>
      <c r="BF55" s="3" t="n">
        <v>0.000215784355418757</v>
      </c>
      <c r="BG55" s="3" t="n">
        <v>0.000977873986096874</v>
      </c>
      <c r="BH55" s="3" t="n">
        <v>0.000454024585679604</v>
      </c>
      <c r="BI55" s="3" t="n">
        <v>0.00301525949295026</v>
      </c>
      <c r="BJ55" s="3" t="n">
        <v>0.0187475001902367</v>
      </c>
      <c r="BK55" s="3" t="n">
        <v>0.00838340460411214</v>
      </c>
      <c r="BL55" s="3" t="n">
        <v>0.0546106439171371</v>
      </c>
      <c r="BM55" s="3" t="n">
        <v>0.091120500102604</v>
      </c>
      <c r="BN55" s="3" t="n">
        <v>0</v>
      </c>
      <c r="BO55" s="3" t="n">
        <v>0</v>
      </c>
      <c r="BP55" s="3" t="n">
        <v>0.756356801582304</v>
      </c>
      <c r="BQ55" s="3" t="n">
        <v>0.785021838060499</v>
      </c>
      <c r="BR55" s="3" t="n">
        <v>0</v>
      </c>
      <c r="BS55" s="169"/>
      <c r="BT55" s="169"/>
      <c r="BU55" s="169"/>
      <c r="BV55" s="169"/>
      <c r="BW55" s="169"/>
      <c r="BX55" s="169"/>
      <c r="BY55" s="169"/>
    </row>
    <row r="56" customFormat="false" ht="12.75" hidden="true" customHeight="false" outlineLevel="0" collapsed="false">
      <c r="A56" s="3" t="n">
        <v>4</v>
      </c>
      <c r="B56" s="3" t="n">
        <v>4.4</v>
      </c>
      <c r="C56" s="3" t="s">
        <v>276</v>
      </c>
      <c r="D56" s="3" t="s">
        <v>245</v>
      </c>
      <c r="E56" s="3" t="n">
        <v>0.908684586009608</v>
      </c>
      <c r="F56" s="3" t="n">
        <v>0.879422296134443</v>
      </c>
      <c r="G56" s="3" t="n">
        <v>0.915692996317099</v>
      </c>
      <c r="H56" s="3" t="n">
        <v>0.0404143934755663</v>
      </c>
      <c r="I56" s="3" t="n">
        <v>0.302444452175306</v>
      </c>
      <c r="J56" s="3" t="n">
        <v>0.308999362122748</v>
      </c>
      <c r="K56" s="3" t="n">
        <v>0.135472422604125</v>
      </c>
      <c r="L56" s="3" t="n">
        <v>3.62912486519383E-015</v>
      </c>
      <c r="M56" s="3" t="n">
        <v>0.195923004012917</v>
      </c>
      <c r="N56" s="3" t="n">
        <v>0</v>
      </c>
      <c r="O56" s="3" t="n">
        <v>0.101101089627725</v>
      </c>
      <c r="P56" s="3" t="n">
        <v>0</v>
      </c>
      <c r="Q56" s="3" t="n">
        <v>0.173331541672035</v>
      </c>
      <c r="R56" s="3" t="n">
        <v>1.02647152078051E-014</v>
      </c>
      <c r="S56" s="3" t="n">
        <v>0.118756839543685</v>
      </c>
      <c r="T56" s="3" t="n">
        <v>0</v>
      </c>
      <c r="U56" s="3" t="n">
        <v>0.244214754446021</v>
      </c>
      <c r="V56" s="3" t="n">
        <v>0</v>
      </c>
      <c r="W56" s="3" t="n">
        <v>0.00143492745943505</v>
      </c>
      <c r="X56" s="3" t="n">
        <v>0.0174742610073375</v>
      </c>
      <c r="Y56" s="3" t="n">
        <v>0.000765163071565073</v>
      </c>
      <c r="Z56" s="3" t="n">
        <v>0.0231682500967774</v>
      </c>
      <c r="AA56" s="3" t="n">
        <v>0.00136539003335617</v>
      </c>
      <c r="AB56" s="3" t="n">
        <v>0.0344133429970465</v>
      </c>
      <c r="AC56" s="3" t="n">
        <v>0.425688692305218</v>
      </c>
      <c r="AD56" s="3" t="n">
        <v>0.179749621174336</v>
      </c>
      <c r="AE56" s="3" t="n">
        <v>0.377447149881434</v>
      </c>
      <c r="AF56" s="3" t="n">
        <v>0.0510694934818505</v>
      </c>
      <c r="AG56" s="3" t="n">
        <v>1.02647152078051E-014</v>
      </c>
      <c r="AH56" s="3" t="n">
        <v>0.0624338096579538</v>
      </c>
      <c r="AI56" s="3" t="n">
        <v>4.17338059419743E-017</v>
      </c>
      <c r="AJ56" s="3" t="n">
        <v>0.0438768945831501</v>
      </c>
      <c r="AK56" s="3" t="n">
        <v>0</v>
      </c>
      <c r="AL56" s="3" t="n">
        <v>0.00264532903380688</v>
      </c>
      <c r="AM56" s="3" t="n">
        <v>0.0203918863524312</v>
      </c>
      <c r="AN56" s="3" t="n">
        <v>0.0043047725677438</v>
      </c>
      <c r="AO56" s="3" t="n">
        <v>0.0314420120273118</v>
      </c>
      <c r="AP56" s="3" t="n">
        <v>0.00218000914715206</v>
      </c>
      <c r="AQ56" s="3" t="n">
        <v>0.0256398826085599</v>
      </c>
      <c r="AR56" s="3" t="n">
        <v>0.272653477034719</v>
      </c>
      <c r="AS56" s="3" t="n">
        <v>0.582205475336947</v>
      </c>
      <c r="AT56" s="3" t="n">
        <v>0.108711602823275</v>
      </c>
      <c r="AU56" s="3" t="n">
        <v>0.000563883603983445</v>
      </c>
      <c r="AV56" s="3" t="n">
        <v>5.67064830277853E-005</v>
      </c>
      <c r="AW56" s="3" t="n">
        <v>4.46888104858997E-005</v>
      </c>
      <c r="AX56" s="3" t="n">
        <v>0.000630506209063254</v>
      </c>
      <c r="AY56" s="3" t="n">
        <v>0.000419273882173053</v>
      </c>
      <c r="AZ56" s="3" t="n">
        <v>0.00036230874170311</v>
      </c>
      <c r="BA56" s="3" t="n">
        <v>0.0155006260887949</v>
      </c>
      <c r="BB56" s="3" t="n">
        <v>0.0100753775783184</v>
      </c>
      <c r="BC56" s="3" t="n">
        <v>0.00868161721625488</v>
      </c>
      <c r="BD56" s="3" t="n">
        <v>0.000962824702392463</v>
      </c>
      <c r="BE56" s="3" t="n">
        <v>0.000188129957973961</v>
      </c>
      <c r="BF56" s="3" t="n">
        <v>0.000491580137141123</v>
      </c>
      <c r="BG56" s="3" t="n">
        <v>0.00138038876834063</v>
      </c>
      <c r="BH56" s="3" t="n">
        <v>0.000466542787217933</v>
      </c>
      <c r="BI56" s="3" t="n">
        <v>0.00529173530455788</v>
      </c>
      <c r="BJ56" s="3" t="n">
        <v>0.0259980257159796</v>
      </c>
      <c r="BK56" s="3" t="n">
        <v>0.00809054313810426</v>
      </c>
      <c r="BL56" s="3" t="n">
        <v>0.0953654666000316</v>
      </c>
      <c r="BM56" s="3" t="n">
        <v>0.143288180266783</v>
      </c>
      <c r="BN56" s="3" t="n">
        <v>0</v>
      </c>
      <c r="BO56" s="3" t="n">
        <v>0</v>
      </c>
      <c r="BP56" s="3" t="n">
        <v>0.161723830566776</v>
      </c>
      <c r="BQ56" s="3" t="n">
        <v>0.635987186171016</v>
      </c>
      <c r="BR56" s="3" t="n">
        <v>0</v>
      </c>
      <c r="BS56" s="169"/>
      <c r="BT56" s="169"/>
      <c r="BU56" s="169"/>
      <c r="BV56" s="169"/>
      <c r="BW56" s="169"/>
      <c r="BX56" s="169"/>
      <c r="BY56" s="169"/>
    </row>
    <row r="57" customFormat="false" ht="12.75" hidden="true" customHeight="false" outlineLevel="0" collapsed="false">
      <c r="A57" s="3" t="n">
        <v>4</v>
      </c>
      <c r="B57" s="3" t="n">
        <v>4.4</v>
      </c>
      <c r="C57" s="3" t="s">
        <v>277</v>
      </c>
      <c r="D57" s="3" t="s">
        <v>245</v>
      </c>
      <c r="E57" s="3" t="n">
        <v>0.938075687090389</v>
      </c>
      <c r="F57" s="3" t="n">
        <v>0.89322784055308</v>
      </c>
      <c r="G57" s="3" t="n">
        <v>0.761466843784607</v>
      </c>
      <c r="H57" s="3" t="n">
        <v>0.0558010452346282</v>
      </c>
      <c r="I57" s="3" t="n">
        <v>0.325902632051468</v>
      </c>
      <c r="J57" s="3" t="n">
        <v>0.361010694981415</v>
      </c>
      <c r="K57" s="3" t="n">
        <v>0.0879019692076416</v>
      </c>
      <c r="L57" s="3" t="n">
        <v>3.62912486519383E-015</v>
      </c>
      <c r="M57" s="3" t="n">
        <v>0.164927506384832</v>
      </c>
      <c r="N57" s="3" t="n">
        <v>0</v>
      </c>
      <c r="O57" s="3" t="n">
        <v>0.0994495433642586</v>
      </c>
      <c r="P57" s="3" t="n">
        <v>0</v>
      </c>
      <c r="Q57" s="3" t="n">
        <v>0.181691130449604</v>
      </c>
      <c r="R57" s="3" t="n">
        <v>1.45164994607753E-014</v>
      </c>
      <c r="S57" s="3" t="n">
        <v>0.0985798666240896</v>
      </c>
      <c r="T57" s="3" t="n">
        <v>0</v>
      </c>
      <c r="U57" s="3" t="n">
        <v>0.147560369996413</v>
      </c>
      <c r="V57" s="3" t="n">
        <v>0</v>
      </c>
      <c r="W57" s="3" t="n">
        <v>0.00121791747914808</v>
      </c>
      <c r="X57" s="3" t="n">
        <v>0.0164787367867468</v>
      </c>
      <c r="Y57" s="3" t="n">
        <v>0.00125176593623977</v>
      </c>
      <c r="Z57" s="3" t="n">
        <v>0.0513092020787538</v>
      </c>
      <c r="AA57" s="3" t="n">
        <v>0.00163876710497488</v>
      </c>
      <c r="AB57" s="3" t="n">
        <v>0.0662846977899344</v>
      </c>
      <c r="AC57" s="3" t="n">
        <v>0.245091254717763</v>
      </c>
      <c r="AD57" s="3" t="n">
        <v>0.505244572338516</v>
      </c>
      <c r="AE57" s="3" t="n">
        <v>0.467801270712721</v>
      </c>
      <c r="AF57" s="3" t="n">
        <v>0.0429100585400799</v>
      </c>
      <c r="AG57" s="3" t="n">
        <v>1.45164994607753E-014</v>
      </c>
      <c r="AH57" s="3" t="n">
        <v>0.0378860001675498</v>
      </c>
      <c r="AI57" s="3" t="n">
        <v>5.17644154341031E-017</v>
      </c>
      <c r="AJ57" s="3" t="n">
        <v>0.0439325599682302</v>
      </c>
      <c r="AK57" s="3" t="n">
        <v>0</v>
      </c>
      <c r="AL57" s="3" t="n">
        <v>0.00304105357485601</v>
      </c>
      <c r="AM57" s="3" t="n">
        <v>0.0102965506097453</v>
      </c>
      <c r="AN57" s="3" t="n">
        <v>0.00369519975925479</v>
      </c>
      <c r="AO57" s="3" t="n">
        <v>0.0193033883303592</v>
      </c>
      <c r="AP57" s="3" t="n">
        <v>0.0122150768535789</v>
      </c>
      <c r="AQ57" s="3" t="n">
        <v>0.0170689442141682</v>
      </c>
      <c r="AR57" s="3" t="n">
        <v>0.177679731855713</v>
      </c>
      <c r="AS57" s="3" t="n">
        <v>0.412952175248855</v>
      </c>
      <c r="AT57" s="3" t="n">
        <v>0.892497396220779</v>
      </c>
      <c r="AU57" s="3" t="n">
        <v>6.54487602448172E-005</v>
      </c>
      <c r="AV57" s="3" t="n">
        <v>7.02354363675371E-005</v>
      </c>
      <c r="AW57" s="3" t="n">
        <v>8.67721115784607E-005</v>
      </c>
      <c r="AX57" s="3" t="n">
        <v>0.000658642443875277</v>
      </c>
      <c r="AY57" s="3" t="n">
        <v>0.000370685086161916</v>
      </c>
      <c r="AZ57" s="3" t="n">
        <v>0.000346422159071911</v>
      </c>
      <c r="BA57" s="3" t="n">
        <v>0.0158621392122213</v>
      </c>
      <c r="BB57" s="3" t="n">
        <v>0.00891909604599872</v>
      </c>
      <c r="BC57" s="3" t="n">
        <v>0.00829220521986408</v>
      </c>
      <c r="BD57" s="3" t="n">
        <v>0.0012415423152598</v>
      </c>
      <c r="BE57" s="3" t="n">
        <v>0.000109133721991048</v>
      </c>
      <c r="BF57" s="3" t="n">
        <v>0.00451445876371391</v>
      </c>
      <c r="BG57" s="3" t="n">
        <v>0.000823413126163678</v>
      </c>
      <c r="BH57" s="3" t="n">
        <v>0.000635946833402057</v>
      </c>
      <c r="BI57" s="3" t="n">
        <v>0.0436162012240363</v>
      </c>
      <c r="BJ57" s="3" t="n">
        <v>0.0117057832527397</v>
      </c>
      <c r="BK57" s="3" t="n">
        <v>0.0115548954540924</v>
      </c>
      <c r="BL57" s="3" t="n">
        <v>0.783356302382012</v>
      </c>
      <c r="BM57" s="3" t="n">
        <v>0.0700670025799854</v>
      </c>
      <c r="BN57" s="3" t="n">
        <v>0</v>
      </c>
      <c r="BO57" s="3" t="n">
        <v>0</v>
      </c>
      <c r="BP57" s="3" t="n">
        <v>0.122910601053976</v>
      </c>
      <c r="BQ57" s="3" t="n">
        <v>0.395867273335172</v>
      </c>
      <c r="BR57" s="3" t="n">
        <v>0</v>
      </c>
      <c r="BS57" s="169"/>
      <c r="BT57" s="169"/>
      <c r="BU57" s="169"/>
      <c r="BV57" s="169"/>
      <c r="BW57" s="169"/>
      <c r="BX57" s="169"/>
      <c r="BY57" s="169"/>
    </row>
    <row r="58" customFormat="false" ht="12.75" hidden="false" customHeight="false" outlineLevel="0" collapsed="false">
      <c r="A58" s="3" t="n">
        <v>3</v>
      </c>
      <c r="B58" s="3" t="n">
        <v>3.1</v>
      </c>
      <c r="C58" s="3" t="s">
        <v>244</v>
      </c>
      <c r="D58" s="3" t="s">
        <v>245</v>
      </c>
      <c r="E58" s="3" t="n">
        <v>0.113662558995743</v>
      </c>
      <c r="F58" s="3" t="n">
        <v>0.00445603108515088</v>
      </c>
      <c r="G58" s="3" t="n">
        <v>0.00456396067852696</v>
      </c>
      <c r="H58" s="3" t="n">
        <v>0.109687192268429</v>
      </c>
      <c r="I58" s="3" t="n">
        <v>0.00702225376111139</v>
      </c>
      <c r="J58" s="3" t="n">
        <v>0.116563889114662</v>
      </c>
      <c r="K58" s="3" t="n">
        <v>0.216302057570013</v>
      </c>
      <c r="L58" s="168" t="n">
        <v>0</v>
      </c>
      <c r="M58" s="3" t="n">
        <v>0.363163576950042</v>
      </c>
      <c r="N58" s="3" t="n">
        <v>0</v>
      </c>
      <c r="O58" s="3" t="n">
        <v>0.21661120832921</v>
      </c>
      <c r="P58" s="3" t="n">
        <v>0</v>
      </c>
      <c r="Q58" s="3" t="n">
        <v>0.381358115753323</v>
      </c>
      <c r="R58" s="168" t="n">
        <v>0.0403008120286558</v>
      </c>
      <c r="S58" s="3" t="n">
        <v>0.212013450677764</v>
      </c>
      <c r="T58" s="3" t="n">
        <v>0</v>
      </c>
      <c r="U58" s="3" t="n">
        <v>0.372512542261178</v>
      </c>
      <c r="V58" s="3" t="n">
        <v>0.0301804471654003</v>
      </c>
      <c r="W58" s="168" t="n">
        <v>0.000417298666448475</v>
      </c>
      <c r="X58" s="168" t="n">
        <v>0.0180457419836853</v>
      </c>
      <c r="Y58" s="168" t="n">
        <v>0.000669491730364964</v>
      </c>
      <c r="Z58" s="168" t="n">
        <v>0.0278182081328272</v>
      </c>
      <c r="AA58" s="168" t="n">
        <v>0.000460370307072491</v>
      </c>
      <c r="AB58" s="168" t="n">
        <v>0.0500268526601773</v>
      </c>
      <c r="AC58" s="3" t="n">
        <v>0.0655128900517505</v>
      </c>
      <c r="AD58" s="3" t="n">
        <v>0.0479947628685449</v>
      </c>
      <c r="AE58" s="3" t="n">
        <v>0.0196467389314667</v>
      </c>
      <c r="AF58" s="3" t="n">
        <v>0.0909771230516215</v>
      </c>
      <c r="AG58" s="168" t="n">
        <v>0.00023862143496491</v>
      </c>
      <c r="AH58" s="3" t="n">
        <v>0.0936042250092583</v>
      </c>
      <c r="AI58" s="3" t="n">
        <v>0.0312232720133378</v>
      </c>
      <c r="AJ58" s="3" t="n">
        <v>0.0956852392069034</v>
      </c>
      <c r="AK58" s="168" t="n">
        <v>0.0411542685913389</v>
      </c>
      <c r="AL58" s="168" t="n">
        <v>0.000279273630730398</v>
      </c>
      <c r="AM58" s="168" t="n">
        <v>0.0893275116197651</v>
      </c>
      <c r="AN58" s="168" t="n">
        <v>0.000396721913169652</v>
      </c>
      <c r="AO58" s="168" t="n">
        <v>0.0977177150368412</v>
      </c>
      <c r="AP58" s="168" t="n">
        <v>0.000469674100448947</v>
      </c>
      <c r="AQ58" s="168" t="n">
        <v>0.144050248825424</v>
      </c>
      <c r="AR58" s="3" t="n">
        <v>0.00412512610649276</v>
      </c>
      <c r="AS58" s="3" t="n">
        <v>0.00142398114396099</v>
      </c>
      <c r="AT58" s="3" t="n">
        <v>0.00141636613031116</v>
      </c>
      <c r="AU58" s="168" t="n">
        <v>0.0006167917468308</v>
      </c>
      <c r="AV58" s="168" t="n">
        <v>0.000650949046317437</v>
      </c>
      <c r="AW58" s="168" t="n">
        <v>0.00128666410042285</v>
      </c>
      <c r="AX58" s="168" t="n">
        <v>6.00563493101623E-005</v>
      </c>
      <c r="AY58" s="168" t="n">
        <v>0.000128044301936973</v>
      </c>
      <c r="AZ58" s="168" t="n">
        <v>7.11921423452948E-005</v>
      </c>
      <c r="BA58" s="168" t="n">
        <v>0.00145413801986884</v>
      </c>
      <c r="BB58" s="168" t="n">
        <v>0.00308862479791882</v>
      </c>
      <c r="BC58" s="168" t="n">
        <v>0.00175813095145519</v>
      </c>
      <c r="BD58" s="168" t="n">
        <v>0.000171307641759042</v>
      </c>
      <c r="BE58" s="168" t="n">
        <v>0.000296337893547362</v>
      </c>
      <c r="BF58" s="168" t="n">
        <v>9.17789600081535E-005</v>
      </c>
      <c r="BG58" s="168" t="n">
        <v>8.85321978968704E-005</v>
      </c>
      <c r="BH58" s="168" t="n">
        <v>1.75233890421612E-005</v>
      </c>
      <c r="BI58" s="168" t="n">
        <v>0.000112610879350299</v>
      </c>
      <c r="BJ58" s="168" t="n">
        <v>0.00168128018242753</v>
      </c>
      <c r="BK58" s="168" t="n">
        <v>0.000325306572211293</v>
      </c>
      <c r="BL58" s="168" t="n">
        <v>0.00210666813659572</v>
      </c>
      <c r="BM58" s="3" t="n">
        <v>0</v>
      </c>
      <c r="BN58" s="3" t="n">
        <v>0</v>
      </c>
      <c r="BO58" s="3" t="n">
        <v>0</v>
      </c>
      <c r="BP58" s="3" t="n">
        <v>0</v>
      </c>
      <c r="BQ58" s="3" t="n">
        <v>0</v>
      </c>
      <c r="BR58" s="3" t="n">
        <v>0</v>
      </c>
      <c r="BS58" s="169"/>
      <c r="BT58" s="169"/>
      <c r="BU58" s="169"/>
      <c r="BV58" s="169"/>
      <c r="BW58" s="169"/>
      <c r="BX58" s="169"/>
      <c r="BY58" s="169"/>
    </row>
    <row r="59" customFormat="false" ht="12.75" hidden="false" customHeight="false" outlineLevel="0" collapsed="false">
      <c r="A59" s="3" t="n">
        <v>3</v>
      </c>
      <c r="B59" s="3" t="n">
        <v>3.2</v>
      </c>
      <c r="C59" s="3" t="s">
        <v>244</v>
      </c>
      <c r="D59" s="3" t="s">
        <v>245</v>
      </c>
      <c r="E59" s="3" t="n">
        <v>1.09639702643321</v>
      </c>
      <c r="F59" s="3" t="n">
        <v>1.06055495946119</v>
      </c>
      <c r="G59" s="3" t="n">
        <v>1.67415861490593</v>
      </c>
      <c r="H59" s="3" t="n">
        <v>0.0489493048436495</v>
      </c>
      <c r="I59" s="3" t="n">
        <v>0.613635444871921</v>
      </c>
      <c r="J59" s="3" t="n">
        <v>0.579771590249164</v>
      </c>
      <c r="K59" s="3" t="n">
        <v>0.166892136656514</v>
      </c>
      <c r="L59" s="168" t="n">
        <v>0</v>
      </c>
      <c r="M59" s="3" t="n">
        <v>0.216859843876968</v>
      </c>
      <c r="N59" s="3" t="n">
        <v>0</v>
      </c>
      <c r="O59" s="3" t="n">
        <v>0.111425193856352</v>
      </c>
      <c r="P59" s="3" t="n">
        <v>0</v>
      </c>
      <c r="Q59" s="3" t="n">
        <v>0.237589161050839</v>
      </c>
      <c r="R59" s="168" t="n">
        <v>0.0185765254733266</v>
      </c>
      <c r="S59" s="3" t="n">
        <v>0.169995667109798</v>
      </c>
      <c r="T59" s="3" t="n">
        <v>0</v>
      </c>
      <c r="U59" s="3" t="n">
        <v>0.32393754859832</v>
      </c>
      <c r="V59" s="3" t="n">
        <v>0.00843696376822842</v>
      </c>
      <c r="W59" s="168" t="n">
        <v>0.00256465611742101</v>
      </c>
      <c r="X59" s="3" t="n">
        <v>0.0747186540178167</v>
      </c>
      <c r="Y59" s="168" t="n">
        <v>0.00170557873725154</v>
      </c>
      <c r="Z59" s="3" t="n">
        <v>0.0591853864255157</v>
      </c>
      <c r="AA59" s="168" t="n">
        <v>0.000905398851387249</v>
      </c>
      <c r="AB59" s="3" t="n">
        <v>0.0980973676570466</v>
      </c>
      <c r="AC59" s="3" t="n">
        <v>0.432787753040875</v>
      </c>
      <c r="AD59" s="3" t="n">
        <v>0.16868762968036</v>
      </c>
      <c r="AE59" s="3" t="n">
        <v>0.502517134941632</v>
      </c>
      <c r="AF59" s="3" t="n">
        <v>0.0515955929988017</v>
      </c>
      <c r="AG59" s="168" t="n">
        <v>0.000528188920398215</v>
      </c>
      <c r="AH59" s="3" t="n">
        <v>0.0787656248358866</v>
      </c>
      <c r="AI59" s="3" t="n">
        <v>0.00696472588347793</v>
      </c>
      <c r="AJ59" s="3" t="n">
        <v>0.0568216085840889</v>
      </c>
      <c r="AK59" s="168" t="n">
        <v>0.0198083019570929</v>
      </c>
      <c r="AL59" s="3" t="n">
        <v>0.0096440600894207</v>
      </c>
      <c r="AM59" s="3" t="n">
        <v>0.133771516367838</v>
      </c>
      <c r="AN59" s="168" t="n">
        <v>0.00290167228413839</v>
      </c>
      <c r="AO59" s="3" t="n">
        <v>0.060868702349936</v>
      </c>
      <c r="AP59" s="3" t="n">
        <v>0.00191156164802237</v>
      </c>
      <c r="AQ59" s="3" t="n">
        <v>0.0702146795076632</v>
      </c>
      <c r="AR59" s="3" t="n">
        <v>0.21040282095206</v>
      </c>
      <c r="AS59" s="3" t="n">
        <v>0.460995091099234</v>
      </c>
      <c r="AT59" s="3" t="n">
        <v>0.416268727080683</v>
      </c>
      <c r="AU59" s="3" t="n">
        <v>0.0143328529511101</v>
      </c>
      <c r="AV59" s="3" t="n">
        <v>0.0169715611158143</v>
      </c>
      <c r="AW59" s="3" t="n">
        <v>0.0262687409103171</v>
      </c>
      <c r="AX59" s="3" t="n">
        <v>0.0218358756387135</v>
      </c>
      <c r="AY59" s="3" t="n">
        <v>0.0253656700154139</v>
      </c>
      <c r="AZ59" s="3" t="n">
        <v>0.0291482901983546</v>
      </c>
      <c r="BA59" s="3" t="n">
        <v>0.511775432281936</v>
      </c>
      <c r="BB59" s="3" t="n">
        <v>0.591532299407876</v>
      </c>
      <c r="BC59" s="3" t="n">
        <v>0.673875114787746</v>
      </c>
      <c r="BD59" s="3" t="n">
        <v>0.00233112686378751</v>
      </c>
      <c r="BE59" s="168" t="n">
        <v>0.00277010049247413</v>
      </c>
      <c r="BF59" s="3" t="n">
        <v>0.00884422643138626</v>
      </c>
      <c r="BG59" s="168" t="n">
        <v>0.00119341853442573</v>
      </c>
      <c r="BH59" s="168" t="n">
        <v>0.000659089062416238</v>
      </c>
      <c r="BI59" s="3" t="n">
        <v>0.00758155509145637</v>
      </c>
      <c r="BJ59" s="3" t="n">
        <v>0.0310180827303736</v>
      </c>
      <c r="BK59" s="3" t="n">
        <v>0.00174934426991039</v>
      </c>
      <c r="BL59" s="3" t="n">
        <v>0.112148845918101</v>
      </c>
      <c r="BM59" s="3" t="n">
        <v>0</v>
      </c>
      <c r="BN59" s="3" t="n">
        <v>0</v>
      </c>
      <c r="BO59" s="3" t="n">
        <v>0</v>
      </c>
      <c r="BP59" s="3" t="n">
        <v>0</v>
      </c>
      <c r="BQ59" s="3" t="n">
        <v>0</v>
      </c>
      <c r="BR59" s="3" t="n">
        <v>0</v>
      </c>
      <c r="BS59" s="169"/>
      <c r="BT59" s="169"/>
      <c r="BU59" s="169"/>
      <c r="BV59" s="169"/>
      <c r="BW59" s="169"/>
      <c r="BX59" s="169"/>
      <c r="BY59" s="169"/>
    </row>
    <row r="60" customFormat="false" ht="12.75" hidden="false" customHeight="false" outlineLevel="0" collapsed="false">
      <c r="A60" s="3" t="n">
        <v>3</v>
      </c>
      <c r="B60" s="3" t="n">
        <v>3.3</v>
      </c>
      <c r="C60" s="3" t="s">
        <v>244</v>
      </c>
      <c r="D60" s="3" t="s">
        <v>245</v>
      </c>
      <c r="E60" s="3" t="n">
        <v>0.17861488741758</v>
      </c>
      <c r="F60" s="3" t="n">
        <v>0.150274810572465</v>
      </c>
      <c r="G60" s="3" t="n">
        <v>0.354174366497696</v>
      </c>
      <c r="H60" s="3" t="n">
        <v>0.08207592953496</v>
      </c>
      <c r="I60" s="3" t="n">
        <v>0.216545120949956</v>
      </c>
      <c r="J60" s="3" t="n">
        <v>0.261668763535969</v>
      </c>
      <c r="K60" s="3" t="n">
        <v>0.251361946430243</v>
      </c>
      <c r="L60" s="3" t="n">
        <v>0</v>
      </c>
      <c r="M60" s="3" t="n">
        <v>0.369933719139631</v>
      </c>
      <c r="N60" s="3" t="n">
        <v>0</v>
      </c>
      <c r="O60" s="3" t="n">
        <v>0.211411615562322</v>
      </c>
      <c r="P60" s="3" t="n">
        <v>0</v>
      </c>
      <c r="Q60" s="3" t="n">
        <v>0.420851187765068</v>
      </c>
      <c r="R60" s="3" t="n">
        <v>0.0344589330494939</v>
      </c>
      <c r="S60" s="3" t="n">
        <v>0.277475477576788</v>
      </c>
      <c r="T60" s="3" t="n">
        <v>0</v>
      </c>
      <c r="U60" s="3" t="n">
        <v>0.490968710295381</v>
      </c>
      <c r="V60" s="3" t="n">
        <v>0.045305470688682</v>
      </c>
      <c r="W60" s="3" t="n">
        <v>0.00048638753460531</v>
      </c>
      <c r="X60" s="3" t="n">
        <v>0.0443502167499858</v>
      </c>
      <c r="Y60" s="3" t="n">
        <v>0.000826726509314683</v>
      </c>
      <c r="Z60" s="3" t="n">
        <v>0.0707002440400284</v>
      </c>
      <c r="AA60" s="3" t="n">
        <v>0.000885941843084964</v>
      </c>
      <c r="AB60" s="3" t="n">
        <v>0.0814974447348016</v>
      </c>
      <c r="AC60" s="3" t="n">
        <v>0.0731582928310558</v>
      </c>
      <c r="AD60" s="3" t="n">
        <v>0.0563107387647494</v>
      </c>
      <c r="AE60" s="3" t="n">
        <v>0.169922267972755</v>
      </c>
      <c r="AF60" s="3" t="n">
        <v>0.101679635799616</v>
      </c>
      <c r="AG60" s="3" t="n">
        <v>0.0474715260654958</v>
      </c>
      <c r="AH60" s="3" t="n">
        <v>0.132563922406675</v>
      </c>
      <c r="AI60" s="3" t="n">
        <v>0.000358122829363239</v>
      </c>
      <c r="AJ60" s="3" t="n">
        <v>0.110352726506657</v>
      </c>
      <c r="AK60" s="3" t="n">
        <v>0.00187592457172615</v>
      </c>
      <c r="AL60" s="3" t="n">
        <v>0.0016120814656086</v>
      </c>
      <c r="AM60" s="3" t="n">
        <v>0.0683923311461472</v>
      </c>
      <c r="AN60" s="3" t="n">
        <v>0.00301213656397278</v>
      </c>
      <c r="AO60" s="3" t="n">
        <v>0.132810960973036</v>
      </c>
      <c r="AP60" s="3" t="n">
        <v>0.00583670571876806</v>
      </c>
      <c r="AQ60" s="3" t="n">
        <v>0.0476867300625195</v>
      </c>
      <c r="AR60" s="3" t="n">
        <v>0.113386538676371</v>
      </c>
      <c r="AS60" s="3" t="n">
        <v>0.0643987824084761</v>
      </c>
      <c r="AT60" s="3" t="n">
        <v>0.322340913329007</v>
      </c>
      <c r="AU60" s="3" t="n">
        <v>0.00661425520803585</v>
      </c>
      <c r="AV60" s="3" t="n">
        <v>0.00636451247476293</v>
      </c>
      <c r="AW60" s="3" t="n">
        <v>0.0124874140885952</v>
      </c>
      <c r="AX60" s="3" t="n">
        <v>0.007777403956401</v>
      </c>
      <c r="AY60" s="3" t="n">
        <v>0.0072122802436207</v>
      </c>
      <c r="AZ60" s="3" t="n">
        <v>0.0120961140741912</v>
      </c>
      <c r="BA60" s="3" t="n">
        <v>0.179566306523903</v>
      </c>
      <c r="BB60" s="3" t="n">
        <v>0.165504214870433</v>
      </c>
      <c r="BC60" s="3" t="n">
        <v>0.276300599621875</v>
      </c>
      <c r="BD60" s="3" t="n">
        <v>0.0121803976183768</v>
      </c>
      <c r="BE60" s="3" t="n">
        <v>0.00297727867358143</v>
      </c>
      <c r="BF60" s="3" t="n">
        <v>0.0013961430857311</v>
      </c>
      <c r="BG60" s="3" t="n">
        <v>0.00645150174166781</v>
      </c>
      <c r="BH60" s="3" t="n">
        <v>0.000350262556488365</v>
      </c>
      <c r="BI60" s="3" t="n">
        <v>0.0107756160772172</v>
      </c>
      <c r="BJ60" s="3" t="n">
        <v>0.0966903003161507</v>
      </c>
      <c r="BK60" s="3" t="n">
        <v>0.0170631413292164</v>
      </c>
      <c r="BL60" s="3" t="n">
        <v>0.202343373463813</v>
      </c>
      <c r="BM60" s="3" t="n">
        <v>0.205419036090565</v>
      </c>
      <c r="BN60" s="3" t="n">
        <v>0.19348345913367</v>
      </c>
      <c r="BO60" s="3" t="n">
        <v>0.128637298053058</v>
      </c>
      <c r="BP60" s="3" t="n">
        <v>0</v>
      </c>
      <c r="BQ60" s="3" t="n">
        <v>0</v>
      </c>
      <c r="BR60" s="3" t="n">
        <v>0</v>
      </c>
      <c r="BS60" s="169"/>
      <c r="BT60" s="169"/>
      <c r="BU60" s="169"/>
      <c r="BV60" s="169"/>
      <c r="BW60" s="169"/>
      <c r="BX60" s="169"/>
      <c r="BY60" s="169"/>
    </row>
    <row r="61" customFormat="false" ht="12.75" hidden="false" customHeight="false" outlineLevel="0" collapsed="false">
      <c r="A61" s="3" t="n">
        <v>3</v>
      </c>
      <c r="B61" s="3" t="n">
        <v>3.4</v>
      </c>
      <c r="C61" s="3" t="s">
        <v>244</v>
      </c>
      <c r="D61" s="3" t="s">
        <v>245</v>
      </c>
      <c r="E61" s="3" t="n">
        <v>2.65996503112626</v>
      </c>
      <c r="F61" s="3" t="n">
        <v>2.6303926989941</v>
      </c>
      <c r="G61" s="3" t="n">
        <v>2.49559843570522</v>
      </c>
      <c r="H61" s="3" t="n">
        <v>0.0947180134088895</v>
      </c>
      <c r="I61" s="3" t="n">
        <v>0.134869110283131</v>
      </c>
      <c r="J61" s="3" t="n">
        <v>0.18419282689509</v>
      </c>
      <c r="K61" s="3" t="n">
        <v>0.184160986847431</v>
      </c>
      <c r="L61" s="3" t="n">
        <v>0</v>
      </c>
      <c r="M61" s="3" t="n">
        <v>0.210796534682773</v>
      </c>
      <c r="N61" s="3" t="n">
        <v>0</v>
      </c>
      <c r="O61" s="3" t="n">
        <v>0.0861834429362267</v>
      </c>
      <c r="P61" s="3" t="n">
        <v>0</v>
      </c>
      <c r="Q61" s="3" t="n">
        <v>0.194693024537873</v>
      </c>
      <c r="R61" s="3" t="n">
        <v>0.0218478144407664</v>
      </c>
      <c r="S61" s="3" t="n">
        <v>0.16937893515177</v>
      </c>
      <c r="T61" s="3" t="n">
        <v>0</v>
      </c>
      <c r="U61" s="3" t="n">
        <v>0.357482638512308</v>
      </c>
      <c r="V61" s="3" t="n">
        <v>0.011897829284419</v>
      </c>
      <c r="W61" s="3" t="n">
        <v>0.00405864727581339</v>
      </c>
      <c r="X61" s="3" t="n">
        <v>0.0127579283430136</v>
      </c>
      <c r="Y61" s="3" t="n">
        <v>0.00306335857245383</v>
      </c>
      <c r="Z61" s="3" t="n">
        <v>0.06234914027319</v>
      </c>
      <c r="AA61" s="3" t="n">
        <v>0.00484851540964535</v>
      </c>
      <c r="AB61" s="3" t="n">
        <v>0.0895987233614979</v>
      </c>
      <c r="AC61" s="3" t="n">
        <v>0.718706199082</v>
      </c>
      <c r="AD61" s="3" t="n">
        <v>0.77519546683148</v>
      </c>
      <c r="AE61" s="3" t="n">
        <v>1.18548315886478</v>
      </c>
      <c r="AF61" s="3" t="n">
        <v>0.0448299368989131</v>
      </c>
      <c r="AG61" s="168" t="n">
        <v>0.0197071190924579</v>
      </c>
      <c r="AH61" s="3" t="n">
        <v>0.0834270094084821</v>
      </c>
      <c r="AI61" s="3" t="n">
        <v>0.00433333900653306</v>
      </c>
      <c r="AJ61" s="3" t="n">
        <v>0.0420951819073727</v>
      </c>
      <c r="AK61" s="3" t="n">
        <v>0.027723595640437</v>
      </c>
      <c r="AL61" s="3" t="n">
        <v>0.00694609098892398</v>
      </c>
      <c r="AM61" s="3" t="n">
        <v>0.100682873386819</v>
      </c>
      <c r="AN61" s="3" t="n">
        <v>0.0146011936520385</v>
      </c>
      <c r="AO61" s="3" t="n">
        <v>0.0223014317532051</v>
      </c>
      <c r="AP61" s="3" t="n">
        <v>0.00873703931914749</v>
      </c>
      <c r="AQ61" s="3" t="n">
        <v>0.0611318155679619</v>
      </c>
      <c r="AR61" s="3" t="n">
        <v>0.405509893193448</v>
      </c>
      <c r="AS61" s="3" t="n">
        <v>1.33496610775497</v>
      </c>
      <c r="AT61" s="3" t="n">
        <v>0.968194076920328</v>
      </c>
      <c r="AU61" s="168" t="n">
        <v>0.000801644495808023</v>
      </c>
      <c r="AV61" s="3" t="n">
        <v>0.00059625579908367</v>
      </c>
      <c r="AW61" s="3" t="n">
        <v>7.14525075379629E-005</v>
      </c>
      <c r="AX61" s="168" t="n">
        <v>9.69403005381744E-005</v>
      </c>
      <c r="AY61" s="168" t="n">
        <v>0.000587841197208545</v>
      </c>
      <c r="AZ61" s="168" t="n">
        <v>0.000547241046784708</v>
      </c>
      <c r="BA61" s="3" t="n">
        <v>0.00313636725054099</v>
      </c>
      <c r="BB61" s="3" t="n">
        <v>0.0133927141736721</v>
      </c>
      <c r="BC61" s="3" t="n">
        <v>0.0131944689201034</v>
      </c>
      <c r="BD61" s="3" t="n">
        <v>0.00198337736996509</v>
      </c>
      <c r="BE61" s="168" t="n">
        <v>0.000489131705807171</v>
      </c>
      <c r="BF61" s="3" t="n">
        <v>0.00144174845256929</v>
      </c>
      <c r="BG61" s="168" t="n">
        <v>0.00256768622805638</v>
      </c>
      <c r="BH61" s="168" t="n">
        <v>0.00161062255148851</v>
      </c>
      <c r="BI61" s="3" t="n">
        <v>0.0138867971873221</v>
      </c>
      <c r="BJ61" s="3" t="n">
        <v>0.0462570370398915</v>
      </c>
      <c r="BK61" s="3" t="n">
        <v>0.0311453537462554</v>
      </c>
      <c r="BL61" s="3" t="n">
        <v>0.248930738754776</v>
      </c>
      <c r="BM61" s="3" t="n">
        <v>0</v>
      </c>
      <c r="BN61" s="3" t="n">
        <v>0</v>
      </c>
      <c r="BO61" s="3" t="n">
        <v>0</v>
      </c>
      <c r="BP61" s="3" t="n">
        <v>0.347348460090358</v>
      </c>
      <c r="BQ61" s="3" t="n">
        <v>1.3223889484827</v>
      </c>
      <c r="BR61" s="3" t="n">
        <v>0.774713802885719</v>
      </c>
      <c r="BS61" s="169"/>
      <c r="BT61" s="169"/>
      <c r="BU61" s="169"/>
      <c r="BV61" s="169"/>
      <c r="BW61" s="169"/>
      <c r="BX61" s="169"/>
      <c r="BY61" s="169"/>
    </row>
    <row r="62" customFormat="false" ht="12.75" hidden="false" customHeight="false" outlineLevel="0" collapsed="false">
      <c r="A62" s="3" t="n">
        <v>4</v>
      </c>
      <c r="B62" s="3" t="n">
        <v>4.1</v>
      </c>
      <c r="C62" s="3" t="s">
        <v>244</v>
      </c>
      <c r="D62" s="3" t="s">
        <v>245</v>
      </c>
      <c r="E62" s="3" t="n">
        <v>0.0366490708545557</v>
      </c>
      <c r="F62" s="3" t="n">
        <v>0.00625498020649243</v>
      </c>
      <c r="G62" s="3" t="n">
        <v>0.000429599681105066</v>
      </c>
      <c r="H62" s="3" t="n">
        <v>0.0342455168151178</v>
      </c>
      <c r="I62" s="3" t="n">
        <v>0.00662675972993242</v>
      </c>
      <c r="J62" s="3" t="n">
        <v>0.0370150167324865</v>
      </c>
      <c r="K62" s="3" t="n">
        <v>0.0789400411543691</v>
      </c>
      <c r="L62" s="168" t="n">
        <v>0</v>
      </c>
      <c r="M62" s="3" t="n">
        <v>0.157270365469367</v>
      </c>
      <c r="N62" s="3" t="n">
        <v>0</v>
      </c>
      <c r="O62" s="3" t="n">
        <v>0.0650098587092595</v>
      </c>
      <c r="P62" s="3" t="n">
        <v>0</v>
      </c>
      <c r="Q62" s="3" t="n">
        <v>0.0531695381560657</v>
      </c>
      <c r="R62" s="168" t="n">
        <v>0.0316802113248702</v>
      </c>
      <c r="S62" s="3" t="n">
        <v>0.0146887602138705</v>
      </c>
      <c r="T62" s="3" t="n">
        <v>0</v>
      </c>
      <c r="U62" s="3" t="n">
        <v>0.0666265129405699</v>
      </c>
      <c r="V62" s="3" t="n">
        <v>0.00520237563758547</v>
      </c>
      <c r="W62" s="168" t="n">
        <v>0.000384360553338552</v>
      </c>
      <c r="X62" s="168" t="n">
        <v>0.0160876568557276</v>
      </c>
      <c r="Y62" s="168" t="n">
        <v>0.000385894864342198</v>
      </c>
      <c r="Z62" s="168" t="n">
        <v>0.0440464765558245</v>
      </c>
      <c r="AA62" s="168" t="n">
        <v>0.000254060041042279</v>
      </c>
      <c r="AB62" s="168" t="n">
        <v>0.00596544102105752</v>
      </c>
      <c r="AC62" s="3" t="n">
        <v>0.0358275862794798</v>
      </c>
      <c r="AD62" s="3" t="n">
        <v>0.0093872543481447</v>
      </c>
      <c r="AE62" s="3" t="n">
        <v>0.00605892617476079</v>
      </c>
      <c r="AF62" s="3" t="n">
        <v>0.0396568226784912</v>
      </c>
      <c r="AG62" s="168" t="n">
        <v>0.000237830297772252</v>
      </c>
      <c r="AH62" s="3" t="n">
        <v>0.016779336919369</v>
      </c>
      <c r="AI62" s="3" t="n">
        <v>0.00371415946183579</v>
      </c>
      <c r="AJ62" s="3" t="n">
        <v>0.0136287368983485</v>
      </c>
      <c r="AK62" s="168" t="n">
        <v>0.0307823250514314</v>
      </c>
      <c r="AL62" s="168" t="n">
        <v>0.000488338970193473</v>
      </c>
      <c r="AM62" s="168" t="n">
        <v>0.159468798096751</v>
      </c>
      <c r="AN62" s="168" t="n">
        <v>0.000582654221974255</v>
      </c>
      <c r="AO62" s="168" t="n">
        <v>0.112590455207941</v>
      </c>
      <c r="AP62" s="168" t="n">
        <v>0.000573860613735317</v>
      </c>
      <c r="AQ62" s="168" t="n">
        <v>0.113597538112494</v>
      </c>
      <c r="AR62" s="3" t="n">
        <v>0.000190527242571781</v>
      </c>
      <c r="AS62" s="168" t="n">
        <v>0.00187003404494045</v>
      </c>
      <c r="AT62" s="3" t="n">
        <v>0.00440287532061866</v>
      </c>
      <c r="AU62" s="168" t="n">
        <v>0.000110553958356988</v>
      </c>
      <c r="AV62" s="168" t="n">
        <v>0.000212830052560998</v>
      </c>
      <c r="AW62" s="168" t="n">
        <v>0.000453403099130434</v>
      </c>
      <c r="AX62" s="168" t="n">
        <v>0.000109037950522849</v>
      </c>
      <c r="AY62" s="168" t="n">
        <v>0.000192304123036048</v>
      </c>
      <c r="AZ62" s="168" t="n">
        <v>5.5643911544062E-005</v>
      </c>
      <c r="BA62" s="168" t="n">
        <v>0.00265003170375399</v>
      </c>
      <c r="BB62" s="3" t="n">
        <v>0.00465494416538987</v>
      </c>
      <c r="BC62" s="168" t="n">
        <v>0.00135956172765784</v>
      </c>
      <c r="BD62" s="168" t="n">
        <v>0.000120816608132922</v>
      </c>
      <c r="BE62" s="168" t="n">
        <v>0.000224742592007298</v>
      </c>
      <c r="BF62" s="168" t="n">
        <v>0.000146265129875632</v>
      </c>
      <c r="BG62" s="168" t="n">
        <v>2.98686477708115E-005</v>
      </c>
      <c r="BH62" s="168" t="n">
        <v>2.29655574671755E-005</v>
      </c>
      <c r="BI62" s="168" t="n">
        <v>0.000132429183900311</v>
      </c>
      <c r="BJ62" s="168" t="n">
        <v>0.000567199947217228</v>
      </c>
      <c r="BK62" s="168" t="n">
        <v>0.00042695788303769</v>
      </c>
      <c r="BL62" s="168" t="n">
        <v>0.00247680710435129</v>
      </c>
      <c r="BM62" s="3" t="n">
        <v>0</v>
      </c>
      <c r="BN62" s="3" t="n">
        <v>0</v>
      </c>
      <c r="BO62" s="3" t="n">
        <v>0</v>
      </c>
      <c r="BP62" s="3" t="n">
        <v>0</v>
      </c>
      <c r="BQ62" s="3" t="n">
        <v>0</v>
      </c>
      <c r="BR62" s="3" t="n">
        <v>0</v>
      </c>
      <c r="BS62" s="169"/>
      <c r="BT62" s="169"/>
      <c r="BU62" s="169"/>
      <c r="BV62" s="169"/>
      <c r="BW62" s="169"/>
      <c r="BX62" s="169"/>
      <c r="BY62" s="169"/>
    </row>
    <row r="63" customFormat="false" ht="12.75" hidden="false" customHeight="false" outlineLevel="0" collapsed="false">
      <c r="A63" s="3" t="n">
        <v>4</v>
      </c>
      <c r="B63" s="3" t="n">
        <v>4.2</v>
      </c>
      <c r="C63" s="3" t="s">
        <v>244</v>
      </c>
      <c r="D63" s="3" t="s">
        <v>245</v>
      </c>
      <c r="E63" s="3" t="n">
        <v>1.94907417135473</v>
      </c>
      <c r="F63" s="3" t="n">
        <v>1.61313477802815</v>
      </c>
      <c r="G63" s="3" t="n">
        <v>1.63166358562821</v>
      </c>
      <c r="H63" s="3" t="n">
        <v>0.388821520173774</v>
      </c>
      <c r="I63" s="3" t="n">
        <v>0.0906477092829826</v>
      </c>
      <c r="J63" s="3" t="n">
        <v>0.332620239279964</v>
      </c>
      <c r="K63" s="3" t="n">
        <v>0.436582387662288</v>
      </c>
      <c r="L63" s="3" t="n">
        <v>0</v>
      </c>
      <c r="M63" s="3" t="n">
        <v>0.598212726870286</v>
      </c>
      <c r="N63" s="3" t="n">
        <v>0</v>
      </c>
      <c r="O63" s="3" t="n">
        <v>0.308571888484263</v>
      </c>
      <c r="P63" s="3" t="n">
        <v>0</v>
      </c>
      <c r="Q63" s="3" t="n">
        <v>0.631589439604147</v>
      </c>
      <c r="R63" s="3" t="n">
        <v>0.03549773613649</v>
      </c>
      <c r="S63" s="3" t="n">
        <v>0.458220772247875</v>
      </c>
      <c r="T63" s="3" t="n">
        <v>0</v>
      </c>
      <c r="U63" s="3" t="n">
        <v>0.855290855692247</v>
      </c>
      <c r="V63" s="3" t="n">
        <v>0.00193563722596639</v>
      </c>
      <c r="W63" s="168" t="n">
        <v>0.0026188680432734</v>
      </c>
      <c r="X63" s="3" t="n">
        <v>0.0223700577877173</v>
      </c>
      <c r="Y63" s="168" t="n">
        <v>0.0040132846746974</v>
      </c>
      <c r="Z63" s="3" t="n">
        <v>0.0143861286033971</v>
      </c>
      <c r="AA63" s="168" t="n">
        <v>0.00263017958224985</v>
      </c>
      <c r="AB63" s="3" t="n">
        <v>0.046549731222188</v>
      </c>
      <c r="AC63" s="3" t="n">
        <v>0.433632447811132</v>
      </c>
      <c r="AD63" s="3" t="n">
        <v>0.835009427981146</v>
      </c>
      <c r="AE63" s="3" t="n">
        <v>0.720575991041546</v>
      </c>
      <c r="AF63" s="3" t="n">
        <v>0.137722051069157</v>
      </c>
      <c r="AG63" s="168" t="n">
        <v>0.0017279382941791</v>
      </c>
      <c r="AH63" s="3" t="n">
        <v>0.214822842827979</v>
      </c>
      <c r="AI63" s="3" t="n">
        <v>0.000544090962284699</v>
      </c>
      <c r="AJ63" s="3" t="n">
        <v>0.136360164337999</v>
      </c>
      <c r="AK63" s="3" t="n">
        <v>0.0185556637272919</v>
      </c>
      <c r="AL63" s="3" t="n">
        <v>0.00827168943875854</v>
      </c>
      <c r="AM63" s="3" t="n">
        <v>0.0454208167671465</v>
      </c>
      <c r="AN63" s="3" t="n">
        <v>0.00331880391636477</v>
      </c>
      <c r="AO63" s="3" t="n">
        <v>0.00604142449391331</v>
      </c>
      <c r="AP63" s="3" t="n">
        <v>0.0113208931668192</v>
      </c>
      <c r="AQ63" s="3" t="n">
        <v>0.0976435879029882</v>
      </c>
      <c r="AR63" s="3" t="n">
        <v>0.611951010909394</v>
      </c>
      <c r="AS63" s="3" t="n">
        <v>0.0269994081853906</v>
      </c>
      <c r="AT63" s="3" t="n">
        <v>1.00545612466235</v>
      </c>
      <c r="AU63" s="3" t="n">
        <v>0.000492439334554792</v>
      </c>
      <c r="AV63" s="3" t="n">
        <v>0.000414963801885282</v>
      </c>
      <c r="AW63" s="3" t="n">
        <v>0.00076100090817541</v>
      </c>
      <c r="AX63" s="3" t="n">
        <v>0.000886385749782288</v>
      </c>
      <c r="AY63" s="3" t="n">
        <v>0.000363817450143846</v>
      </c>
      <c r="AZ63" s="3" t="n">
        <v>0.000239843587124333</v>
      </c>
      <c r="BA63" s="3" t="n">
        <v>0.0207823000783265</v>
      </c>
      <c r="BB63" s="3" t="n">
        <v>0.00823788173802454</v>
      </c>
      <c r="BC63" s="3" t="n">
        <v>0.00493679957802398</v>
      </c>
      <c r="BD63" s="3" t="n">
        <v>0.00335634441767928</v>
      </c>
      <c r="BE63" s="3" t="n">
        <v>0.000521435533549496</v>
      </c>
      <c r="BF63" s="3" t="n">
        <v>0.00119435075698729</v>
      </c>
      <c r="BG63" s="3" t="n">
        <v>0.0018704291781989</v>
      </c>
      <c r="BH63" s="3" t="n">
        <v>0.00140370835652862</v>
      </c>
      <c r="BI63" s="3" t="n">
        <v>0.0278443398776709</v>
      </c>
      <c r="BJ63" s="3" t="n">
        <v>0.0461652923426512</v>
      </c>
      <c r="BK63" s="3" t="n">
        <v>0.0263027549417495</v>
      </c>
      <c r="BL63" s="3" t="n">
        <v>0.50620160724774</v>
      </c>
      <c r="BM63" s="3" t="n">
        <v>0.573359231242701</v>
      </c>
      <c r="BN63" s="3" t="n">
        <v>0</v>
      </c>
      <c r="BO63" s="3" t="n">
        <v>0.349499187050754</v>
      </c>
      <c r="BP63" s="3" t="n">
        <v>0.198790926243552</v>
      </c>
      <c r="BQ63" s="3" t="n">
        <v>0</v>
      </c>
      <c r="BR63" s="3" t="n">
        <v>0.156151851234</v>
      </c>
      <c r="BS63" s="169"/>
      <c r="BT63" s="169"/>
      <c r="BU63" s="169"/>
      <c r="BV63" s="169"/>
      <c r="BW63" s="169"/>
      <c r="BX63" s="169"/>
      <c r="BY63" s="169"/>
    </row>
    <row r="64" customFormat="false" ht="12.75" hidden="false" customHeight="false" outlineLevel="0" collapsed="false">
      <c r="A64" s="3" t="n">
        <v>4</v>
      </c>
      <c r="B64" s="3" t="n">
        <v>4.3</v>
      </c>
      <c r="C64" s="3" t="s">
        <v>244</v>
      </c>
      <c r="D64" s="3" t="s">
        <v>245</v>
      </c>
      <c r="E64" s="3" t="n">
        <v>0.484133005479684</v>
      </c>
      <c r="F64" s="3" t="n">
        <v>0.569489944660747</v>
      </c>
      <c r="G64" s="3" t="n">
        <v>0.712608522091226</v>
      </c>
      <c r="H64" s="3" t="n">
        <v>0.263807296862262</v>
      </c>
      <c r="I64" s="3" t="n">
        <v>0.158112130067924</v>
      </c>
      <c r="J64" s="3" t="n">
        <v>0.316241158864084</v>
      </c>
      <c r="K64" s="3" t="n">
        <v>0.190428972302954</v>
      </c>
      <c r="L64" s="168" t="n">
        <v>0</v>
      </c>
      <c r="M64" s="3" t="n">
        <v>0.361675410763153</v>
      </c>
      <c r="N64" s="3" t="n">
        <v>0</v>
      </c>
      <c r="O64" s="3" t="n">
        <v>0.145298347936897</v>
      </c>
      <c r="P64" s="3" t="n">
        <v>0</v>
      </c>
      <c r="Q64" s="3" t="n">
        <v>0.156571507352315</v>
      </c>
      <c r="R64" s="168" t="n">
        <v>0.00889592158489505</v>
      </c>
      <c r="S64" s="3" t="n">
        <v>0.0547669670331322</v>
      </c>
      <c r="T64" s="3" t="n">
        <v>0</v>
      </c>
      <c r="U64" s="3" t="n">
        <v>0.160011594820771</v>
      </c>
      <c r="V64" s="3" t="n">
        <v>0.0338198990916776</v>
      </c>
      <c r="W64" s="168" t="n">
        <v>0.000913317600280222</v>
      </c>
      <c r="X64" s="3" t="n">
        <v>0.0329274593172851</v>
      </c>
      <c r="Y64" s="3" t="n">
        <v>0.000435723928375826</v>
      </c>
      <c r="Z64" s="3" t="n">
        <v>0.0208567682974659</v>
      </c>
      <c r="AA64" s="168" t="n">
        <v>0.000565893781523996</v>
      </c>
      <c r="AB64" s="3" t="n">
        <v>0.0341668248991057</v>
      </c>
      <c r="AC64" s="3" t="n">
        <v>0.122459625518687</v>
      </c>
      <c r="AD64" s="3" t="n">
        <v>0.186593131040841</v>
      </c>
      <c r="AE64" s="3" t="n">
        <v>0.278171947162579</v>
      </c>
      <c r="AF64" s="3" t="n">
        <v>0.0916394800758061</v>
      </c>
      <c r="AG64" s="168" t="n">
        <v>0.0335050765244794</v>
      </c>
      <c r="AH64" s="3" t="n">
        <v>0.0176959229519236</v>
      </c>
      <c r="AI64" s="3" t="n">
        <v>0.000542760957762073</v>
      </c>
      <c r="AJ64" s="3" t="n">
        <v>0.0331162152816903</v>
      </c>
      <c r="AK64" s="3" t="n">
        <v>0.029160236149817</v>
      </c>
      <c r="AL64" s="3" t="n">
        <v>0.00203559568729965</v>
      </c>
      <c r="AM64" s="3" t="n">
        <v>0.0636314705190209</v>
      </c>
      <c r="AN64" s="3" t="n">
        <v>0.0056330297032594</v>
      </c>
      <c r="AO64" s="3" t="n">
        <v>0.0182029200775423</v>
      </c>
      <c r="AP64" s="3" t="n">
        <v>0.00418157123044448</v>
      </c>
      <c r="AQ64" s="3" t="n">
        <v>0.0750474970216027</v>
      </c>
      <c r="AR64" s="3" t="n">
        <v>0.116582106094148</v>
      </c>
      <c r="AS64" s="3" t="n">
        <v>0.617963679741666</v>
      </c>
      <c r="AT64" s="3" t="n">
        <v>0.215189240594362</v>
      </c>
      <c r="AU64" s="3" t="n">
        <v>0.000129406972789273</v>
      </c>
      <c r="AV64" s="3" t="n">
        <v>0.000280348913681495</v>
      </c>
      <c r="AW64" s="3" t="n">
        <v>0.000524117475985638</v>
      </c>
      <c r="AX64" s="3" t="n">
        <v>0.00131152988632393</v>
      </c>
      <c r="AY64" s="3" t="n">
        <v>0.000280640422373589</v>
      </c>
      <c r="AZ64" s="3" t="n">
        <v>0.000340522275845335</v>
      </c>
      <c r="BA64" s="3" t="n">
        <v>0.0314527385562456</v>
      </c>
      <c r="BB64" s="3" t="n">
        <v>0.00679999988952617</v>
      </c>
      <c r="BC64" s="3" t="n">
        <v>0.00768468584562289</v>
      </c>
      <c r="BD64" s="3" t="n">
        <v>0.00212622245146795</v>
      </c>
      <c r="BE64" s="3" t="n">
        <v>0.000302986150098879</v>
      </c>
      <c r="BF64" s="3" t="n">
        <v>0.00202567954260672</v>
      </c>
      <c r="BG64" s="3" t="n">
        <v>0.00607615995450657</v>
      </c>
      <c r="BH64" s="3" t="n">
        <v>0.000619466750063848</v>
      </c>
      <c r="BI64" s="3" t="n">
        <v>0.0258905609389461</v>
      </c>
      <c r="BJ64" s="3" t="n">
        <v>0.116340088404687</v>
      </c>
      <c r="BK64" s="3" t="n">
        <v>0.0124634052413473</v>
      </c>
      <c r="BL64" s="3" t="n">
        <v>0.468969730489839</v>
      </c>
      <c r="BM64" s="3" t="n">
        <v>0.0331980087289075</v>
      </c>
      <c r="BN64" s="3" t="n">
        <v>0</v>
      </c>
      <c r="BO64" s="3" t="n">
        <v>0.233907279680562</v>
      </c>
      <c r="BP64" s="3" t="n">
        <v>0</v>
      </c>
      <c r="BQ64" s="3" t="n">
        <v>0.632799322936653</v>
      </c>
      <c r="BR64" s="3" t="n">
        <v>0.341421983227205</v>
      </c>
      <c r="BS64" s="169"/>
      <c r="BT64" s="169"/>
      <c r="BU64" s="169"/>
      <c r="BV64" s="169"/>
      <c r="BW64" s="169"/>
      <c r="BX64" s="169"/>
      <c r="BY64" s="169"/>
    </row>
    <row r="65" customFormat="false" ht="12.75" hidden="false" customHeight="false" outlineLevel="0" collapsed="false">
      <c r="A65" s="3" t="n">
        <v>4</v>
      </c>
      <c r="B65" s="3" t="n">
        <v>4.4</v>
      </c>
      <c r="C65" s="3" t="s">
        <v>244</v>
      </c>
      <c r="D65" s="3" t="s">
        <v>245</v>
      </c>
      <c r="E65" s="3" t="n">
        <v>2.27762404865294</v>
      </c>
      <c r="F65" s="3" t="n">
        <v>2.36585007491097</v>
      </c>
      <c r="G65" s="3" t="n">
        <v>2.37924030567175</v>
      </c>
      <c r="H65" s="3" t="n">
        <v>0.171881450112034</v>
      </c>
      <c r="I65" s="3" t="n">
        <v>0.0393119026365309</v>
      </c>
      <c r="J65" s="3" t="n">
        <v>0.21034381125157</v>
      </c>
      <c r="K65" s="3" t="n">
        <v>0.437842219096273</v>
      </c>
      <c r="L65" s="3" t="n">
        <v>0</v>
      </c>
      <c r="M65" s="3" t="n">
        <v>0.934981119446286</v>
      </c>
      <c r="N65" s="3" t="n">
        <v>0</v>
      </c>
      <c r="O65" s="3" t="n">
        <v>0.581489021840534</v>
      </c>
      <c r="P65" s="3" t="n">
        <v>0</v>
      </c>
      <c r="Q65" s="3" t="n">
        <v>0.885008743968228</v>
      </c>
      <c r="R65" s="3" t="n">
        <v>0.0442036759575955</v>
      </c>
      <c r="S65" s="3" t="n">
        <v>0.408087772095694</v>
      </c>
      <c r="T65" s="3" t="n">
        <v>0</v>
      </c>
      <c r="U65" s="3" t="n">
        <v>0.65736860550299</v>
      </c>
      <c r="V65" s="3" t="n">
        <v>0.0072884656368493</v>
      </c>
      <c r="W65" s="3" t="n">
        <v>0.00616660269629748</v>
      </c>
      <c r="X65" s="3" t="n">
        <v>0.116865376295948</v>
      </c>
      <c r="Y65" s="3" t="n">
        <v>0.00439031283661344</v>
      </c>
      <c r="Z65" s="3" t="n">
        <v>0.128928253800813</v>
      </c>
      <c r="AA65" s="3" t="n">
        <v>0.00347058533038535</v>
      </c>
      <c r="AB65" s="3" t="n">
        <v>0.13813224720687</v>
      </c>
      <c r="AC65" s="3" t="n">
        <v>0.988902510129172</v>
      </c>
      <c r="AD65" s="3" t="n">
        <v>0.774304891004859</v>
      </c>
      <c r="AE65" s="3" t="n">
        <v>0.527028542447559</v>
      </c>
      <c r="AF65" s="3" t="n">
        <v>0.226867127303462</v>
      </c>
      <c r="AG65" s="3" t="n">
        <v>0.00980855332439015</v>
      </c>
      <c r="AH65" s="3" t="n">
        <v>0.166001153138431</v>
      </c>
      <c r="AI65" s="3" t="n">
        <v>0.0010941221077259</v>
      </c>
      <c r="AJ65" s="3" t="n">
        <v>0.224048604633448</v>
      </c>
      <c r="AK65" s="3" t="n">
        <v>0.0390421002615068</v>
      </c>
      <c r="AL65" s="3" t="n">
        <v>0.0211895464520809</v>
      </c>
      <c r="AM65" s="3" t="n">
        <v>0.054848398046312</v>
      </c>
      <c r="AN65" s="3" t="n">
        <v>0.0079751194083846</v>
      </c>
      <c r="AO65" s="3" t="n">
        <v>0.0399919762573467</v>
      </c>
      <c r="AP65" s="3" t="n">
        <v>0.00771306916465933</v>
      </c>
      <c r="AQ65" s="3" t="n">
        <v>0.023813888105908</v>
      </c>
      <c r="AR65" s="3" t="n">
        <v>1.60115553526246</v>
      </c>
      <c r="AS65" s="3" t="n">
        <v>0.452144056263174</v>
      </c>
      <c r="AT65" s="3" t="n">
        <v>0.388459790563906</v>
      </c>
      <c r="AU65" s="3" t="n">
        <v>0.00216520969975467</v>
      </c>
      <c r="AV65" s="3" t="n">
        <v>0.000178668922624945</v>
      </c>
      <c r="AW65" s="3" t="n">
        <v>0.000273978334546076</v>
      </c>
      <c r="AX65" s="3" t="n">
        <v>0.000335000953825683</v>
      </c>
      <c r="AY65" s="3" t="n">
        <v>9.97352240173771E-005</v>
      </c>
      <c r="AZ65" s="3" t="n">
        <v>0.000364654060149818</v>
      </c>
      <c r="BA65" s="3" t="n">
        <v>0.0105569797666016</v>
      </c>
      <c r="BB65" s="3" t="n">
        <v>0.00228963056062839</v>
      </c>
      <c r="BC65" s="3" t="n">
        <v>0.00858147579261429</v>
      </c>
      <c r="BD65" s="3" t="n">
        <v>0.00250600033137133</v>
      </c>
      <c r="BE65" s="3" t="n">
        <v>0.000159408752272118</v>
      </c>
      <c r="BF65" s="3" t="n">
        <v>0.00229233459736352</v>
      </c>
      <c r="BG65" s="3" t="n">
        <v>0.00172896632466984</v>
      </c>
      <c r="BH65" s="3" t="n">
        <v>0.000858587030539436</v>
      </c>
      <c r="BI65" s="3" t="n">
        <v>0.0189696656218598</v>
      </c>
      <c r="BJ65" s="3" t="n">
        <v>0.031567852166165</v>
      </c>
      <c r="BK65" s="3" t="n">
        <v>0.0150487585482803</v>
      </c>
      <c r="BL65" s="3" t="n">
        <v>0.339650318451503</v>
      </c>
      <c r="BM65" s="3" t="n">
        <v>0.188989253870963</v>
      </c>
      <c r="BN65" s="3" t="n">
        <v>0</v>
      </c>
      <c r="BO65" s="3" t="n">
        <v>0</v>
      </c>
      <c r="BP65" s="3" t="n">
        <v>1.4734741037758</v>
      </c>
      <c r="BQ65" s="3" t="n">
        <v>0.450950749232667</v>
      </c>
      <c r="BR65" s="3" t="n">
        <v>0</v>
      </c>
      <c r="BS65" s="169"/>
      <c r="BT65" s="169"/>
      <c r="BU65" s="169"/>
      <c r="BV65" s="169"/>
      <c r="BW65" s="169"/>
      <c r="BX65" s="169"/>
      <c r="BY65" s="169"/>
    </row>
    <row r="66" customFormat="false" ht="12.75" hidden="true" customHeight="false" outlineLevel="0" collapsed="false">
      <c r="A66" s="3" t="n">
        <v>3</v>
      </c>
      <c r="B66" s="3" t="n">
        <v>3.1</v>
      </c>
      <c r="C66" s="3" t="s">
        <v>254</v>
      </c>
      <c r="D66" s="3" t="s">
        <v>246</v>
      </c>
      <c r="E66" s="3" t="n">
        <v>56.877081</v>
      </c>
      <c r="F66" s="168" t="n">
        <v>5.29782121666666</v>
      </c>
      <c r="G66" s="168" t="n">
        <v>2.83273329687923</v>
      </c>
      <c r="H66" s="3" t="n">
        <v>51.5792597833333</v>
      </c>
      <c r="I66" s="168" t="n">
        <v>2.46508791978743</v>
      </c>
      <c r="J66" s="3" t="n">
        <v>54.0443477031207</v>
      </c>
      <c r="K66" s="3" t="n">
        <v>282.040620833333</v>
      </c>
      <c r="L66" s="168" t="n">
        <v>-29.9999999999999</v>
      </c>
      <c r="M66" s="3" t="n">
        <v>489.185766666666</v>
      </c>
      <c r="N66" s="3" t="n">
        <v>0</v>
      </c>
      <c r="O66" s="3" t="n">
        <v>282.531033333333</v>
      </c>
      <c r="P66" s="3" t="n">
        <v>-150</v>
      </c>
      <c r="Q66" s="3" t="n">
        <v>488.853795833333</v>
      </c>
      <c r="R66" s="168" t="n">
        <v>-120.105483109667</v>
      </c>
      <c r="S66" s="3" t="n">
        <v>281.848694166666</v>
      </c>
      <c r="T66" s="3" t="n">
        <v>90</v>
      </c>
      <c r="U66" s="3" t="n">
        <v>488.035083333333</v>
      </c>
      <c r="V66" s="3" t="n">
        <v>119.963546883953</v>
      </c>
      <c r="W66" s="168" t="n">
        <v>0.350603681666666</v>
      </c>
      <c r="X66" s="168" t="n">
        <v>-105.283190967984</v>
      </c>
      <c r="Y66" s="168" t="n">
        <v>0.391004425</v>
      </c>
      <c r="Z66" s="168" t="n">
        <v>130.846091080165</v>
      </c>
      <c r="AA66" s="168" t="n">
        <v>0.35078263</v>
      </c>
      <c r="AB66" s="168" t="n">
        <v>6.71216084339762</v>
      </c>
      <c r="AC66" s="168" t="n">
        <v>24.73055525</v>
      </c>
      <c r="AD66" s="168" t="n">
        <v>20.663816</v>
      </c>
      <c r="AE66" s="168" t="n">
        <v>11.48270975</v>
      </c>
      <c r="AF66" s="3" t="n">
        <v>123.027715833333</v>
      </c>
      <c r="AG66" s="168" t="n">
        <v>0.0615724857971144</v>
      </c>
      <c r="AH66" s="3" t="n">
        <v>122.781151666666</v>
      </c>
      <c r="AI66" s="3" t="n">
        <v>120.034842541857</v>
      </c>
      <c r="AJ66" s="3" t="n">
        <v>122.96466</v>
      </c>
      <c r="AK66" s="168" t="n">
        <v>-120.02832360277</v>
      </c>
      <c r="AL66" s="168" t="n">
        <v>0.06003334675</v>
      </c>
      <c r="AM66" s="3" t="n">
        <v>-70.4892321929267</v>
      </c>
      <c r="AN66" s="168" t="n">
        <v>0.0548200436666666</v>
      </c>
      <c r="AO66" s="168" t="n">
        <v>42.1743790276524</v>
      </c>
      <c r="AP66" s="168" t="n">
        <v>0.0474281518333333</v>
      </c>
      <c r="AQ66" s="168" t="n">
        <v>164.095727699108</v>
      </c>
      <c r="AR66" s="168" t="n">
        <v>2.45923273333333</v>
      </c>
      <c r="AS66" s="168" t="n">
        <v>1.41545638333333</v>
      </c>
      <c r="AT66" s="168" t="n">
        <v>1.4231321</v>
      </c>
      <c r="AU66" s="168" t="n">
        <v>24.2670937</v>
      </c>
      <c r="AV66" s="168" t="n">
        <v>24.2257305333333</v>
      </c>
      <c r="AW66" s="168" t="n">
        <v>24.2329045083333</v>
      </c>
      <c r="AX66" s="168" t="n">
        <v>0.0407979588213713</v>
      </c>
      <c r="AY66" s="168" t="n">
        <v>0.0216038199799509</v>
      </c>
      <c r="AZ66" s="168" t="n">
        <v>0.0416643316308352</v>
      </c>
      <c r="BA66" s="168" t="n">
        <v>0.990047926554039</v>
      </c>
      <c r="BB66" s="168" t="n">
        <v>0.523368323537693</v>
      </c>
      <c r="BC66" s="168" t="n">
        <v>1.00964775882265</v>
      </c>
      <c r="BD66" s="168" t="n">
        <v>18.9851692083333</v>
      </c>
      <c r="BE66" s="168" t="n">
        <v>18.595722475</v>
      </c>
      <c r="BF66" s="168" t="n">
        <v>18.69945255</v>
      </c>
      <c r="BG66" s="168" t="n">
        <v>0.00272945141437327</v>
      </c>
      <c r="BH66" s="168" t="n">
        <v>0.00366599763191874</v>
      </c>
      <c r="BI66" s="168" t="n">
        <v>0.0101435223026824</v>
      </c>
      <c r="BJ66" s="168" t="n">
        <v>0.0518190987934502</v>
      </c>
      <c r="BK66" s="168" t="n">
        <v>0.0681718736106282</v>
      </c>
      <c r="BL66" s="168" t="n">
        <v>0.189678315560766</v>
      </c>
      <c r="BM66" s="3" t="n">
        <v>0</v>
      </c>
      <c r="BN66" s="3" t="n">
        <v>0</v>
      </c>
      <c r="BO66" s="3" t="n">
        <v>0</v>
      </c>
      <c r="BP66" s="3" t="n">
        <v>0</v>
      </c>
      <c r="BQ66" s="3" t="n">
        <v>0</v>
      </c>
      <c r="BR66" s="3" t="n">
        <v>0</v>
      </c>
      <c r="BS66" s="169"/>
      <c r="BT66" s="169"/>
      <c r="BU66" s="169"/>
      <c r="BV66" s="169"/>
      <c r="BW66" s="169"/>
      <c r="BX66" s="169"/>
      <c r="BY66" s="169"/>
    </row>
    <row r="67" customFormat="false" ht="12.75" hidden="true" customHeight="false" outlineLevel="0" collapsed="false">
      <c r="A67" s="3" t="n">
        <v>3</v>
      </c>
      <c r="B67" s="3" t="n">
        <v>3.1</v>
      </c>
      <c r="C67" s="3" t="s">
        <v>255</v>
      </c>
      <c r="D67" s="3" t="s">
        <v>246</v>
      </c>
      <c r="E67" s="3" t="n">
        <v>56.8004158333333</v>
      </c>
      <c r="F67" s="168" t="n">
        <v>5.29140446666666</v>
      </c>
      <c r="G67" s="168" t="n">
        <v>2.8279367248816</v>
      </c>
      <c r="H67" s="3" t="n">
        <v>51.5090113666666</v>
      </c>
      <c r="I67" s="168" t="n">
        <v>2.46346774178505</v>
      </c>
      <c r="J67" s="3" t="n">
        <v>53.9724791084517</v>
      </c>
      <c r="K67" s="3" t="n">
        <v>281.756099166666</v>
      </c>
      <c r="L67" s="168" t="n">
        <v>-29.9999999999999</v>
      </c>
      <c r="M67" s="3" t="n">
        <v>488.838851666666</v>
      </c>
      <c r="N67" s="3" t="n">
        <v>0</v>
      </c>
      <c r="O67" s="3" t="n">
        <v>282.431954166666</v>
      </c>
      <c r="P67" s="3" t="n">
        <v>-150</v>
      </c>
      <c r="Q67" s="3" t="n">
        <v>488.7121075</v>
      </c>
      <c r="R67" s="168" t="n">
        <v>-120.179639256934</v>
      </c>
      <c r="S67" s="3" t="n">
        <v>281.6828025</v>
      </c>
      <c r="T67" s="3" t="n">
        <v>90</v>
      </c>
      <c r="U67" s="3" t="n">
        <v>487.571785833333</v>
      </c>
      <c r="V67" s="3" t="n">
        <v>119.921755085072</v>
      </c>
      <c r="W67" s="168" t="n">
        <v>0.350475231666666</v>
      </c>
      <c r="X67" s="168" t="n">
        <v>-105.309106758677</v>
      </c>
      <c r="Y67" s="168" t="n">
        <v>0.391249515</v>
      </c>
      <c r="Z67" s="168" t="n">
        <v>130.791812782046</v>
      </c>
      <c r="AA67" s="168" t="n">
        <v>0.350999269166666</v>
      </c>
      <c r="AB67" s="168" t="n">
        <v>6.63768552196535</v>
      </c>
      <c r="AC67" s="3" t="n">
        <v>24.6823284166666</v>
      </c>
      <c r="AD67" s="3" t="n">
        <v>20.6745399166666</v>
      </c>
      <c r="AE67" s="168" t="n">
        <v>11.4435475</v>
      </c>
      <c r="AF67" s="3" t="n">
        <v>122.940613333333</v>
      </c>
      <c r="AG67" s="168" t="n">
        <v>0.0616856418141651</v>
      </c>
      <c r="AH67" s="3" t="n">
        <v>122.664666666666</v>
      </c>
      <c r="AI67" s="3" t="n">
        <v>119.984952446655</v>
      </c>
      <c r="AJ67" s="3" t="n">
        <v>122.9292125</v>
      </c>
      <c r="AK67" s="168" t="n">
        <v>-120.104952947602</v>
      </c>
      <c r="AL67" s="168" t="n">
        <v>0.0603376553333333</v>
      </c>
      <c r="AM67" s="3" t="n">
        <v>-70.61325114296</v>
      </c>
      <c r="AN67" s="168" t="n">
        <v>0.05533299875</v>
      </c>
      <c r="AO67" s="3" t="n">
        <v>42.0067644216621</v>
      </c>
      <c r="AP67" s="168" t="n">
        <v>0.0480563399999999</v>
      </c>
      <c r="AQ67" s="3" t="n">
        <v>163.838547158668</v>
      </c>
      <c r="AR67" s="168" t="n">
        <v>2.45478974166666</v>
      </c>
      <c r="AS67" s="168" t="n">
        <v>1.413495775</v>
      </c>
      <c r="AT67" s="168" t="n">
        <v>1.42311894999999</v>
      </c>
      <c r="AU67" s="168" t="n">
        <v>24.26630025</v>
      </c>
      <c r="AV67" s="168" t="n">
        <v>24.22492545</v>
      </c>
      <c r="AW67" s="168" t="n">
        <v>24.231607425</v>
      </c>
      <c r="AX67" s="168" t="n">
        <v>0.0407175801813461</v>
      </c>
      <c r="AY67" s="168" t="n">
        <v>0.0216810588924951</v>
      </c>
      <c r="AZ67" s="168" t="n">
        <v>0.0415230238687049</v>
      </c>
      <c r="BA67" s="168" t="n">
        <v>0.988064925891042</v>
      </c>
      <c r="BB67" s="168" t="n">
        <v>0.525222028985197</v>
      </c>
      <c r="BC67" s="168" t="n">
        <v>1.00616955437548</v>
      </c>
      <c r="BD67" s="168" t="n">
        <v>18.9853252583333</v>
      </c>
      <c r="BE67" s="168" t="n">
        <v>18.5953965833333</v>
      </c>
      <c r="BF67" s="168" t="n">
        <v>18.6993029999999</v>
      </c>
      <c r="BG67" s="168" t="n">
        <v>0.00284383384104485</v>
      </c>
      <c r="BH67" s="168" t="n">
        <v>0.00365037281177459</v>
      </c>
      <c r="BI67" s="168" t="n">
        <v>0.00997946166546218</v>
      </c>
      <c r="BJ67" s="168" t="n">
        <v>0.0539911098162233</v>
      </c>
      <c r="BK67" s="168" t="n">
        <v>0.0678801302004991</v>
      </c>
      <c r="BL67" s="168" t="n">
        <v>0.186608975613158</v>
      </c>
      <c r="BM67" s="3" t="n">
        <v>0</v>
      </c>
      <c r="BN67" s="3" t="n">
        <v>0</v>
      </c>
      <c r="BO67" s="3" t="n">
        <v>0</v>
      </c>
      <c r="BP67" s="3" t="n">
        <v>0</v>
      </c>
      <c r="BQ67" s="3" t="n">
        <v>0</v>
      </c>
      <c r="BR67" s="3" t="n">
        <v>0</v>
      </c>
      <c r="BS67" s="169"/>
      <c r="BT67" s="169"/>
      <c r="BU67" s="169"/>
      <c r="BV67" s="169"/>
      <c r="BW67" s="169"/>
      <c r="BX67" s="169"/>
      <c r="BY67" s="169"/>
    </row>
    <row r="68" customFormat="false" ht="12.75" hidden="true" customHeight="false" outlineLevel="0" collapsed="false">
      <c r="A68" s="3" t="n">
        <v>3</v>
      </c>
      <c r="B68" s="3" t="n">
        <v>3.1</v>
      </c>
      <c r="C68" s="3" t="s">
        <v>256</v>
      </c>
      <c r="D68" s="3" t="s">
        <v>246</v>
      </c>
      <c r="E68" s="3" t="n">
        <v>56.6534125833333</v>
      </c>
      <c r="F68" s="168" t="n">
        <v>5.28925675833333</v>
      </c>
      <c r="G68" s="168" t="n">
        <v>2.83706062490659</v>
      </c>
      <c r="H68" s="3" t="n">
        <v>51.364155825</v>
      </c>
      <c r="I68" s="168" t="n">
        <v>2.45219613342673</v>
      </c>
      <c r="J68" s="3" t="n">
        <v>53.8163519584267</v>
      </c>
      <c r="K68" s="3" t="n">
        <v>281.616145</v>
      </c>
      <c r="L68" s="168" t="n">
        <v>-29.9999999999999</v>
      </c>
      <c r="M68" s="3" t="n">
        <v>488.459678333333</v>
      </c>
      <c r="N68" s="3" t="n">
        <v>0</v>
      </c>
      <c r="O68" s="3" t="n">
        <v>282.116255833333</v>
      </c>
      <c r="P68" s="3" t="n">
        <v>-150</v>
      </c>
      <c r="Q68" s="3" t="n">
        <v>488.1339175</v>
      </c>
      <c r="R68" s="168" t="n">
        <v>-120.115209479197</v>
      </c>
      <c r="S68" s="3" t="n">
        <v>281.4278</v>
      </c>
      <c r="T68" s="3" t="n">
        <v>90</v>
      </c>
      <c r="U68" s="3" t="n">
        <v>487.298149166666</v>
      </c>
      <c r="V68" s="3" t="n">
        <v>119.980369180825</v>
      </c>
      <c r="W68" s="168" t="n">
        <v>0.349825285833333</v>
      </c>
      <c r="X68" s="168" t="n">
        <v>-105.317902604521</v>
      </c>
      <c r="Y68" s="168" t="n">
        <v>0.3899869675</v>
      </c>
      <c r="Z68" s="168" t="n">
        <v>130.829532945997</v>
      </c>
      <c r="AA68" s="168" t="n">
        <v>0.350115950833333</v>
      </c>
      <c r="AB68" s="168" t="n">
        <v>6.73278619188788</v>
      </c>
      <c r="AC68" s="168" t="n">
        <v>24.6009361666666</v>
      </c>
      <c r="AD68" s="168" t="n">
        <v>20.586569</v>
      </c>
      <c r="AE68" s="168" t="n">
        <v>11.4659074166666</v>
      </c>
      <c r="AF68" s="3" t="n">
        <v>122.845815833333</v>
      </c>
      <c r="AG68" s="168" t="n">
        <v>0.0620305826153213</v>
      </c>
      <c r="AH68" s="3" t="n">
        <v>122.595989166666</v>
      </c>
      <c r="AI68" s="3" t="n">
        <v>120.042423052609</v>
      </c>
      <c r="AJ68" s="168" t="n">
        <v>122.7840725</v>
      </c>
      <c r="AK68" s="168" t="n">
        <v>-120.040619453097</v>
      </c>
      <c r="AL68" s="168" t="n">
        <v>0.0597798799166666</v>
      </c>
      <c r="AM68" s="3" t="n">
        <v>-70.4398743117701</v>
      </c>
      <c r="AN68" s="168" t="n">
        <v>0.0556007565</v>
      </c>
      <c r="AO68" s="168" t="n">
        <v>42.0035357356061</v>
      </c>
      <c r="AP68" s="168" t="n">
        <v>0.0483470731666666</v>
      </c>
      <c r="AQ68" s="168" t="n">
        <v>163.854687218687</v>
      </c>
      <c r="AR68" s="168" t="n">
        <v>2.45099086666666</v>
      </c>
      <c r="AS68" s="168" t="n">
        <v>1.412687175</v>
      </c>
      <c r="AT68" s="168" t="n">
        <v>1.42557871666666</v>
      </c>
      <c r="AU68" s="168" t="n">
        <v>24.265878975</v>
      </c>
      <c r="AV68" s="168" t="n">
        <v>24.2244419416666</v>
      </c>
      <c r="AW68" s="168" t="n">
        <v>24.2303312083333</v>
      </c>
      <c r="AX68" s="168" t="n">
        <v>0.0408350660145282</v>
      </c>
      <c r="AY68" s="168" t="n">
        <v>0.0218538907132759</v>
      </c>
      <c r="AZ68" s="168" t="n">
        <v>0.0415785433298463</v>
      </c>
      <c r="BA68" s="168" t="n">
        <v>0.990898797906105</v>
      </c>
      <c r="BB68" s="168" t="n">
        <v>0.529398277427636</v>
      </c>
      <c r="BC68" s="168" t="n">
        <v>1.00746184154207</v>
      </c>
      <c r="BD68" s="168" t="n">
        <v>18.9855113833333</v>
      </c>
      <c r="BE68" s="168" t="n">
        <v>18.5951308166666</v>
      </c>
      <c r="BF68" s="168" t="n">
        <v>18.6992856</v>
      </c>
      <c r="BG68" s="168" t="n">
        <v>0.00290369537455804</v>
      </c>
      <c r="BH68" s="168" t="n">
        <v>0.00368535333251277</v>
      </c>
      <c r="BI68" s="168" t="n">
        <v>0.00992786297924816</v>
      </c>
      <c r="BJ68" s="168" t="n">
        <v>0.0551281394469757</v>
      </c>
      <c r="BK68" s="168" t="n">
        <v>0.0685296262047752</v>
      </c>
      <c r="BL68" s="168" t="n">
        <v>0.185643942379028</v>
      </c>
      <c r="BM68" s="3" t="n">
        <v>0</v>
      </c>
      <c r="BN68" s="3" t="n">
        <v>0</v>
      </c>
      <c r="BO68" s="3" t="n">
        <v>0</v>
      </c>
      <c r="BP68" s="3" t="n">
        <v>0</v>
      </c>
      <c r="BQ68" s="3" t="n">
        <v>0</v>
      </c>
      <c r="BR68" s="3" t="n">
        <v>0</v>
      </c>
      <c r="BS68" s="169"/>
      <c r="BT68" s="169"/>
      <c r="BU68" s="169"/>
      <c r="BV68" s="169"/>
      <c r="BW68" s="169"/>
      <c r="BX68" s="169"/>
      <c r="BY68" s="169"/>
    </row>
    <row r="69" customFormat="false" ht="12.75" hidden="true" customHeight="false" outlineLevel="0" collapsed="false">
      <c r="A69" s="3" t="n">
        <v>3</v>
      </c>
      <c r="B69" s="3" t="n">
        <v>3.2</v>
      </c>
      <c r="C69" s="3" t="s">
        <v>257</v>
      </c>
      <c r="D69" s="3" t="s">
        <v>246</v>
      </c>
      <c r="E69" s="3" t="n">
        <v>414.102519166666</v>
      </c>
      <c r="F69" s="168" t="n">
        <v>356.460443333333</v>
      </c>
      <c r="G69" s="168" t="n">
        <v>295.736352381326</v>
      </c>
      <c r="H69" s="3" t="n">
        <v>57.6420758333333</v>
      </c>
      <c r="I69" s="168" t="n">
        <v>60.724090952007</v>
      </c>
      <c r="J69" s="3" t="n">
        <v>118.36616678534</v>
      </c>
      <c r="K69" s="3" t="n">
        <v>283.405738333333</v>
      </c>
      <c r="L69" s="3" t="n">
        <v>-29.9999999999999</v>
      </c>
      <c r="M69" s="3" t="n">
        <v>491.532669166666</v>
      </c>
      <c r="N69" s="3" t="n">
        <v>0</v>
      </c>
      <c r="O69" s="3" t="n">
        <v>284.108449166666</v>
      </c>
      <c r="P69" s="3" t="n">
        <v>-150</v>
      </c>
      <c r="Q69" s="3" t="n">
        <v>491.989223333333</v>
      </c>
      <c r="R69" s="3" t="n">
        <v>-120.090737250631</v>
      </c>
      <c r="S69" s="3" t="n">
        <v>283.669685833333</v>
      </c>
      <c r="T69" s="3" t="n">
        <v>90</v>
      </c>
      <c r="U69" s="3" t="n">
        <v>490.797950833333</v>
      </c>
      <c r="V69" s="168" t="n">
        <v>119.915425034023</v>
      </c>
      <c r="W69" s="168" t="n">
        <v>0.739393201666666</v>
      </c>
      <c r="X69" s="168" t="n">
        <v>-63.8728893818166</v>
      </c>
      <c r="Y69" s="168" t="n">
        <v>0.733977773333333</v>
      </c>
      <c r="Z69" s="168" t="n">
        <v>173.454310134406</v>
      </c>
      <c r="AA69" s="168" t="n">
        <v>0.683086111666666</v>
      </c>
      <c r="AB69" s="3" t="n">
        <v>51.6780765078437</v>
      </c>
      <c r="AC69" s="3" t="n">
        <v>143.3469225</v>
      </c>
      <c r="AD69" s="3" t="n">
        <v>144.6589275</v>
      </c>
      <c r="AE69" s="168" t="n">
        <v>126.096669166666</v>
      </c>
      <c r="AF69" s="3" t="n">
        <v>123.2258025</v>
      </c>
      <c r="AG69" s="168" t="n">
        <v>-0.0674324498307896</v>
      </c>
      <c r="AH69" s="3" t="n">
        <v>123.078684166666</v>
      </c>
      <c r="AI69" s="168" t="n">
        <v>119.852949479331</v>
      </c>
      <c r="AJ69" s="3" t="n">
        <v>123.327705</v>
      </c>
      <c r="AK69" s="3" t="n">
        <v>-120.11560662196</v>
      </c>
      <c r="AL69" s="168" t="n">
        <v>1.90287531666666</v>
      </c>
      <c r="AM69" s="3" t="n">
        <v>-58.911360300337</v>
      </c>
      <c r="AN69" s="168" t="n">
        <v>1.8345869</v>
      </c>
      <c r="AO69" s="3" t="n">
        <v>61.3429550488155</v>
      </c>
      <c r="AP69" s="168" t="n">
        <v>1.62116801666666</v>
      </c>
      <c r="AQ69" s="3" t="n">
        <v>-174.228472350698</v>
      </c>
      <c r="AR69" s="168" t="n">
        <v>121.314765</v>
      </c>
      <c r="AS69" s="168" t="n">
        <v>117.945755833333</v>
      </c>
      <c r="AT69" s="168" t="n">
        <v>117.1999225</v>
      </c>
      <c r="AU69" s="168" t="n">
        <v>24.1815042083333</v>
      </c>
      <c r="AV69" s="168" t="n">
        <v>24.11670135</v>
      </c>
      <c r="AW69" s="168" t="n">
        <v>24.1605717916666</v>
      </c>
      <c r="AX69" s="168" t="n">
        <v>1.11751402942264</v>
      </c>
      <c r="AY69" s="168" t="n">
        <v>1.15230093945978</v>
      </c>
      <c r="AZ69" s="168" t="n">
        <v>1.11201714853172</v>
      </c>
      <c r="BA69" s="168" t="n">
        <v>27.0231586381334</v>
      </c>
      <c r="BB69" s="168" t="n">
        <v>27.7896848034335</v>
      </c>
      <c r="BC69" s="168" t="n">
        <v>26.8669492405481</v>
      </c>
      <c r="BD69" s="168" t="n">
        <v>18.2822827083333</v>
      </c>
      <c r="BE69" s="168" t="n">
        <v>18.1660711416666</v>
      </c>
      <c r="BF69" s="168" t="n">
        <v>18.2153109749999</v>
      </c>
      <c r="BG69" s="168" t="n">
        <v>3.97624445341232</v>
      </c>
      <c r="BH69" s="168" t="n">
        <v>3.90113321911734</v>
      </c>
      <c r="BI69" s="168" t="n">
        <v>3.87001186876785</v>
      </c>
      <c r="BJ69" s="168" t="n">
        <v>72.6948254442084</v>
      </c>
      <c r="BK69" s="168" t="n">
        <v>70.8682635964538</v>
      </c>
      <c r="BL69" s="168" t="n">
        <v>70.4934706585488</v>
      </c>
      <c r="BM69" s="3" t="n">
        <v>0</v>
      </c>
      <c r="BN69" s="3" t="n">
        <v>0</v>
      </c>
      <c r="BO69" s="3" t="n">
        <v>0</v>
      </c>
      <c r="BP69" s="3" t="n">
        <v>0</v>
      </c>
      <c r="BQ69" s="3" t="n">
        <v>0</v>
      </c>
      <c r="BR69" s="3" t="n">
        <v>0</v>
      </c>
      <c r="BS69" s="169"/>
      <c r="BT69" s="169"/>
      <c r="BU69" s="169"/>
      <c r="BV69" s="169"/>
      <c r="BW69" s="169"/>
      <c r="BX69" s="169"/>
      <c r="BY69" s="169"/>
    </row>
    <row r="70" customFormat="false" ht="12.75" hidden="true" customHeight="false" outlineLevel="0" collapsed="false">
      <c r="A70" s="3" t="n">
        <v>3</v>
      </c>
      <c r="B70" s="3" t="n">
        <v>3.2</v>
      </c>
      <c r="C70" s="3" t="s">
        <v>258</v>
      </c>
      <c r="D70" s="3" t="s">
        <v>246</v>
      </c>
      <c r="E70" s="3" t="n">
        <v>415.560365</v>
      </c>
      <c r="F70" s="3" t="n">
        <v>357.918935833333</v>
      </c>
      <c r="G70" s="3" t="n">
        <v>298.050053345972</v>
      </c>
      <c r="H70" s="3" t="n">
        <v>57.6414291666666</v>
      </c>
      <c r="I70" s="3" t="n">
        <v>59.8688824873608</v>
      </c>
      <c r="J70" s="3" t="n">
        <v>117.510311654027</v>
      </c>
      <c r="K70" s="3" t="n">
        <v>283.577655</v>
      </c>
      <c r="L70" s="3" t="n">
        <v>-29.9999999999999</v>
      </c>
      <c r="M70" s="3" t="n">
        <v>491.7126525</v>
      </c>
      <c r="N70" s="3" t="n">
        <v>0</v>
      </c>
      <c r="O70" s="3" t="n">
        <v>284.127845833333</v>
      </c>
      <c r="P70" s="3" t="n">
        <v>-150</v>
      </c>
      <c r="Q70" s="3" t="n">
        <v>491.993888333333</v>
      </c>
      <c r="R70" s="168" t="n">
        <v>-120.127605893955</v>
      </c>
      <c r="S70" s="3" t="n">
        <v>283.7402075</v>
      </c>
      <c r="T70" s="3" t="n">
        <v>90</v>
      </c>
      <c r="U70" s="3" t="n">
        <v>491.068780833333</v>
      </c>
      <c r="V70" s="168" t="n">
        <v>119.905786834779</v>
      </c>
      <c r="W70" s="168" t="n">
        <v>0.742507176666666</v>
      </c>
      <c r="X70" s="3" t="n">
        <v>-63.8626643740288</v>
      </c>
      <c r="Y70" s="168" t="n">
        <v>0.735940358333333</v>
      </c>
      <c r="Z70" s="3" t="n">
        <v>173.397009778658</v>
      </c>
      <c r="AA70" s="168" t="n">
        <v>0.683408029999999</v>
      </c>
      <c r="AB70" s="3" t="n">
        <v>51.8637604980172</v>
      </c>
      <c r="AC70" s="3" t="n">
        <v>144.007003333333</v>
      </c>
      <c r="AD70" s="3" t="n">
        <v>144.838741666666</v>
      </c>
      <c r="AE70" s="3" t="n">
        <v>126.71462</v>
      </c>
      <c r="AF70" s="3" t="n">
        <v>123.267213333333</v>
      </c>
      <c r="AG70" s="168" t="n">
        <v>-0.0666163645277464</v>
      </c>
      <c r="AH70" s="3" t="n">
        <v>123.143164166666</v>
      </c>
      <c r="AI70" s="168" t="n">
        <v>119.845069788046</v>
      </c>
      <c r="AJ70" s="3" t="n">
        <v>123.3254625</v>
      </c>
      <c r="AK70" s="168" t="n">
        <v>-120.154934783055</v>
      </c>
      <c r="AL70" s="168" t="n">
        <v>1.91651185</v>
      </c>
      <c r="AM70" s="3" t="n">
        <v>-59.0594147046906</v>
      </c>
      <c r="AN70" s="168" t="n">
        <v>1.83741141666666</v>
      </c>
      <c r="AO70" s="3" t="n">
        <v>61.4564682604858</v>
      </c>
      <c r="AP70" s="168" t="n">
        <v>1.622698075</v>
      </c>
      <c r="AQ70" s="3" t="n">
        <v>-174.156997396613</v>
      </c>
      <c r="AR70" s="3" t="n">
        <v>121.6995375</v>
      </c>
      <c r="AS70" s="3" t="n">
        <v>118.597730833333</v>
      </c>
      <c r="AT70" s="3" t="n">
        <v>117.6216675</v>
      </c>
      <c r="AU70" s="168" t="n">
        <v>24.163352775</v>
      </c>
      <c r="AV70" s="168" t="n">
        <v>24.0957634083333</v>
      </c>
      <c r="AW70" s="168" t="n">
        <v>24.129350475</v>
      </c>
      <c r="AX70" s="168" t="n">
        <v>1.1511666494359</v>
      </c>
      <c r="AY70" s="168" t="n">
        <v>1.18794522779744</v>
      </c>
      <c r="AZ70" s="168" t="n">
        <v>1.1522712259602</v>
      </c>
      <c r="BA70" s="3" t="n">
        <v>27.8160434666492</v>
      </c>
      <c r="BB70" s="3" t="n">
        <v>28.6244435414611</v>
      </c>
      <c r="BC70" s="3" t="n">
        <v>27.8035510283693</v>
      </c>
      <c r="BD70" s="168" t="n">
        <v>18.2809176916666</v>
      </c>
      <c r="BE70" s="168" t="n">
        <v>18.17012585</v>
      </c>
      <c r="BF70" s="168" t="n">
        <v>18.2288436166666</v>
      </c>
      <c r="BG70" s="168" t="n">
        <v>3.97523410924834</v>
      </c>
      <c r="BH70" s="168" t="n">
        <v>3.90007220205177</v>
      </c>
      <c r="BI70" s="168" t="n">
        <v>3.85489578844126</v>
      </c>
      <c r="BJ70" s="168" t="n">
        <v>72.6709278584881</v>
      </c>
      <c r="BK70" s="168" t="n">
        <v>70.864802828905</v>
      </c>
      <c r="BL70" s="3" t="n">
        <v>70.2702846220995</v>
      </c>
      <c r="BM70" s="3" t="n">
        <v>0</v>
      </c>
      <c r="BN70" s="3" t="n">
        <v>0</v>
      </c>
      <c r="BO70" s="3" t="n">
        <v>0</v>
      </c>
      <c r="BP70" s="3" t="n">
        <v>0</v>
      </c>
      <c r="BQ70" s="3" t="n">
        <v>0</v>
      </c>
      <c r="BR70" s="3" t="n">
        <v>0</v>
      </c>
      <c r="BS70" s="169"/>
      <c r="BT70" s="169"/>
      <c r="BU70" s="169"/>
      <c r="BV70" s="169"/>
      <c r="BW70" s="169"/>
      <c r="BX70" s="169"/>
      <c r="BY70" s="169"/>
    </row>
    <row r="71" customFormat="false" ht="12.75" hidden="true" customHeight="false" outlineLevel="0" collapsed="false">
      <c r="A71" s="3" t="n">
        <v>3</v>
      </c>
      <c r="B71" s="3" t="n">
        <v>3.2</v>
      </c>
      <c r="C71" s="3" t="s">
        <v>259</v>
      </c>
      <c r="D71" s="3" t="s">
        <v>246</v>
      </c>
      <c r="E71" s="3" t="n">
        <v>416.249988333333</v>
      </c>
      <c r="F71" s="3" t="n">
        <v>358.523455</v>
      </c>
      <c r="G71" s="3" t="n">
        <v>298.989273494195</v>
      </c>
      <c r="H71" s="3" t="n">
        <v>57.7265333333333</v>
      </c>
      <c r="I71" s="3" t="n">
        <v>59.5341815058045</v>
      </c>
      <c r="J71" s="3" t="n">
        <v>117.260714839137</v>
      </c>
      <c r="K71" s="3" t="n">
        <v>283.739471666666</v>
      </c>
      <c r="L71" s="3" t="n">
        <v>-29.9999999999999</v>
      </c>
      <c r="M71" s="3" t="n">
        <v>491.964405</v>
      </c>
      <c r="N71" s="3" t="n">
        <v>0</v>
      </c>
      <c r="O71" s="3" t="n">
        <v>284.310409166666</v>
      </c>
      <c r="P71" s="3" t="n">
        <v>-150</v>
      </c>
      <c r="Q71" s="3" t="n">
        <v>492.4030525</v>
      </c>
      <c r="R71" s="3" t="n">
        <v>-120.113145141284</v>
      </c>
      <c r="S71" s="3" t="n">
        <v>283.992984166666</v>
      </c>
      <c r="T71" s="3" t="n">
        <v>90</v>
      </c>
      <c r="U71" s="3" t="n">
        <v>491.443066666666</v>
      </c>
      <c r="V71" s="168" t="n">
        <v>119.898611105958</v>
      </c>
      <c r="W71" s="168" t="n">
        <v>0.744480026666666</v>
      </c>
      <c r="X71" s="3" t="n">
        <v>-63.9968900789771</v>
      </c>
      <c r="Y71" s="168" t="n">
        <v>0.737375300833333</v>
      </c>
      <c r="Z71" s="3" t="n">
        <v>173.335959165998</v>
      </c>
      <c r="AA71" s="168" t="n">
        <v>0.6847902875</v>
      </c>
      <c r="AB71" s="3" t="n">
        <v>51.8257853642282</v>
      </c>
      <c r="AC71" s="3" t="n">
        <v>144.161870833333</v>
      </c>
      <c r="AD71" s="3" t="n">
        <v>144.9960525</v>
      </c>
      <c r="AE71" s="3" t="n">
        <v>127.092064999999</v>
      </c>
      <c r="AF71" s="3" t="n">
        <v>123.3283625</v>
      </c>
      <c r="AG71" s="168" t="n">
        <v>-0.0664434991052047</v>
      </c>
      <c r="AH71" s="3" t="n">
        <v>123.235398333333</v>
      </c>
      <c r="AI71" s="168" t="n">
        <v>119.83906201745</v>
      </c>
      <c r="AJ71" s="3" t="n">
        <v>123.4249825</v>
      </c>
      <c r="AK71" s="3" t="n">
        <v>-120.139403291038</v>
      </c>
      <c r="AL71" s="168" t="n">
        <v>1.921507025</v>
      </c>
      <c r="AM71" s="3" t="n">
        <v>-59.1783755223173</v>
      </c>
      <c r="AN71" s="168" t="n">
        <v>1.84038956666666</v>
      </c>
      <c r="AO71" s="3" t="n">
        <v>61.4378044342751</v>
      </c>
      <c r="AP71" s="168" t="n">
        <v>1.62496725</v>
      </c>
      <c r="AQ71" s="3" t="n">
        <v>-174.088050577512</v>
      </c>
      <c r="AR71" s="3" t="n">
        <v>121.654699999999</v>
      </c>
      <c r="AS71" s="3" t="n">
        <v>118.836319166666</v>
      </c>
      <c r="AT71" s="3" t="n">
        <v>118.032435833333</v>
      </c>
      <c r="AU71" s="168" t="n">
        <v>24.153214275</v>
      </c>
      <c r="AV71" s="168" t="n">
        <v>24.08309575</v>
      </c>
      <c r="AW71" s="168" t="n">
        <v>24.1083679333333</v>
      </c>
      <c r="AX71" s="168" t="n">
        <v>1.15844515781502</v>
      </c>
      <c r="AY71" s="168" t="n">
        <v>1.20138592383338</v>
      </c>
      <c r="AZ71" s="168" t="n">
        <v>1.16866233892768</v>
      </c>
      <c r="BA71" s="3" t="n">
        <v>27.9801744336665</v>
      </c>
      <c r="BB71" s="3" t="n">
        <v>28.9330908735357</v>
      </c>
      <c r="BC71" s="3" t="n">
        <v>28.1745390175486</v>
      </c>
      <c r="BD71" s="168" t="n">
        <v>18.2777395</v>
      </c>
      <c r="BE71" s="168" t="n">
        <v>18.1713680333333</v>
      </c>
      <c r="BF71" s="168" t="n">
        <v>18.2319419666666</v>
      </c>
      <c r="BG71" s="168" t="n">
        <v>3.97386654352229</v>
      </c>
      <c r="BH71" s="168" t="n">
        <v>3.89992530578201</v>
      </c>
      <c r="BI71" s="168" t="n">
        <v>3.86142037832297</v>
      </c>
      <c r="BJ71" s="168" t="n">
        <v>72.633297992468</v>
      </c>
      <c r="BK71" s="168" t="n">
        <v>70.86697810829</v>
      </c>
      <c r="BL71" s="168" t="n">
        <v>70.4011930686864</v>
      </c>
      <c r="BM71" s="3" t="n">
        <v>0</v>
      </c>
      <c r="BN71" s="3" t="n">
        <v>0</v>
      </c>
      <c r="BO71" s="3" t="n">
        <v>0</v>
      </c>
      <c r="BP71" s="3" t="n">
        <v>0</v>
      </c>
      <c r="BQ71" s="3" t="n">
        <v>0</v>
      </c>
      <c r="BR71" s="3" t="n">
        <v>0</v>
      </c>
      <c r="BS71" s="169"/>
      <c r="BT71" s="169"/>
      <c r="BU71" s="169"/>
      <c r="BV71" s="169"/>
      <c r="BW71" s="169"/>
      <c r="BX71" s="169"/>
      <c r="BY71" s="169"/>
    </row>
    <row r="72" customFormat="false" ht="12.75" hidden="true" customHeight="false" outlineLevel="0" collapsed="false">
      <c r="A72" s="3" t="n">
        <v>3</v>
      </c>
      <c r="B72" s="3" t="n">
        <v>3.3</v>
      </c>
      <c r="C72" s="3" t="s">
        <v>260</v>
      </c>
      <c r="D72" s="3" t="s">
        <v>246</v>
      </c>
      <c r="E72" s="3" t="n">
        <v>985.163066666666</v>
      </c>
      <c r="F72" s="3" t="n">
        <v>919.163725833333</v>
      </c>
      <c r="G72" s="3" t="n">
        <v>852.698048409235</v>
      </c>
      <c r="H72" s="3" t="n">
        <v>65.9993408333333</v>
      </c>
      <c r="I72" s="3" t="n">
        <v>66.4656774240982</v>
      </c>
      <c r="J72" s="3" t="n">
        <v>132.465018257431</v>
      </c>
      <c r="K72" s="3" t="n">
        <v>282.370935</v>
      </c>
      <c r="L72" s="168" t="n">
        <v>-29.9999999999999</v>
      </c>
      <c r="M72" s="3" t="n">
        <v>490.075499166666</v>
      </c>
      <c r="N72" s="3" t="n">
        <v>0</v>
      </c>
      <c r="O72" s="3" t="n">
        <v>283.391051666666</v>
      </c>
      <c r="P72" s="3" t="n">
        <v>-150</v>
      </c>
      <c r="Q72" s="3" t="n">
        <v>490.627141666666</v>
      </c>
      <c r="R72" s="168" t="n">
        <v>-120.204018387112</v>
      </c>
      <c r="S72" s="3" t="n">
        <v>282.6900725</v>
      </c>
      <c r="T72" s="3" t="n">
        <v>90</v>
      </c>
      <c r="U72" s="3" t="n">
        <v>488.897980833333</v>
      </c>
      <c r="V72" s="3" t="n">
        <v>119.858019730012</v>
      </c>
      <c r="W72" s="168" t="n">
        <v>1.29233978333333</v>
      </c>
      <c r="X72" s="3" t="n">
        <v>-43.7703765271714</v>
      </c>
      <c r="Y72" s="168" t="n">
        <v>1.302889675</v>
      </c>
      <c r="Z72" s="3" t="n">
        <v>-166.977750108778</v>
      </c>
      <c r="AA72" s="168" t="n">
        <v>1.20804378333333</v>
      </c>
      <c r="AB72" s="3" t="n">
        <v>73.2000674483178</v>
      </c>
      <c r="AC72" s="3" t="n">
        <v>334.952601666666</v>
      </c>
      <c r="AD72" s="3" t="n">
        <v>339.179559166666</v>
      </c>
      <c r="AE72" s="3" t="n">
        <v>311.030905833333</v>
      </c>
      <c r="AF72" s="3" t="n">
        <v>122.053713333333</v>
      </c>
      <c r="AG72" s="168" t="n">
        <v>-120.047589054641</v>
      </c>
      <c r="AH72" s="3" t="n">
        <v>121.868858333333</v>
      </c>
      <c r="AI72" s="3" t="n">
        <v>-0.177217504991489</v>
      </c>
      <c r="AJ72" s="3" t="n">
        <v>122.090199166666</v>
      </c>
      <c r="AK72" s="168" t="n">
        <v>119.785147768556</v>
      </c>
      <c r="AL72" s="3" t="n">
        <v>3.11893341666666</v>
      </c>
      <c r="AM72" s="3" t="n">
        <v>-153.434099833057</v>
      </c>
      <c r="AN72" s="3" t="n">
        <v>2.9673996</v>
      </c>
      <c r="AO72" s="3" t="n">
        <v>-34.3136414519598</v>
      </c>
      <c r="AP72" s="3" t="n">
        <v>2.843347725</v>
      </c>
      <c r="AQ72" s="3" t="n">
        <v>90.2322370672146</v>
      </c>
      <c r="AR72" s="3" t="n">
        <v>317.8569275</v>
      </c>
      <c r="AS72" s="3" t="n">
        <v>299.325378333333</v>
      </c>
      <c r="AT72" s="3" t="n">
        <v>301.98142</v>
      </c>
      <c r="AU72" s="168" t="n">
        <v>24.1122913583333</v>
      </c>
      <c r="AV72" s="168" t="n">
        <v>24.0145095916666</v>
      </c>
      <c r="AW72" s="168" t="n">
        <v>24.0453063416666</v>
      </c>
      <c r="AX72" s="168" t="n">
        <v>1.19051413218997</v>
      </c>
      <c r="AY72" s="168" t="n">
        <v>1.19638566853122</v>
      </c>
      <c r="AZ72" s="168" t="n">
        <v>1.15488320874003</v>
      </c>
      <c r="BA72" s="3" t="n">
        <v>28.706022589195</v>
      </c>
      <c r="BB72" s="3" t="n">
        <v>28.7306149304148</v>
      </c>
      <c r="BC72" s="3" t="n">
        <v>27.7695213632874</v>
      </c>
      <c r="BD72" s="168" t="n">
        <v>18.2123206333333</v>
      </c>
      <c r="BE72" s="168" t="n">
        <v>18.240088825</v>
      </c>
      <c r="BF72" s="168" t="n">
        <v>18.3005904666666</v>
      </c>
      <c r="BG72" s="168" t="n">
        <v>3.88125973702193</v>
      </c>
      <c r="BH72" s="168" t="n">
        <v>3.86812738100316</v>
      </c>
      <c r="BI72" s="3" t="n">
        <v>3.66456947042546</v>
      </c>
      <c r="BJ72" s="3" t="n">
        <v>70.6867461370591</v>
      </c>
      <c r="BK72" s="3" t="n">
        <v>70.5549792717269</v>
      </c>
      <c r="BL72" s="3" t="n">
        <v>67.0637682842182</v>
      </c>
      <c r="BM72" s="3" t="n">
        <v>193.29190625</v>
      </c>
      <c r="BN72" s="3" t="n">
        <v>180.180760416666</v>
      </c>
      <c r="BO72" s="3" t="n">
        <v>185.713729166666</v>
      </c>
      <c r="BP72" s="3" t="n">
        <v>0</v>
      </c>
      <c r="BQ72" s="3" t="n">
        <v>0</v>
      </c>
      <c r="BR72" s="3" t="n">
        <v>0</v>
      </c>
      <c r="BS72" s="169"/>
      <c r="BT72" s="169"/>
      <c r="BU72" s="169"/>
      <c r="BV72" s="169"/>
      <c r="BW72" s="169"/>
      <c r="BX72" s="169"/>
      <c r="BY72" s="169"/>
    </row>
    <row r="73" customFormat="false" ht="12.75" hidden="true" customHeight="false" outlineLevel="0" collapsed="false">
      <c r="A73" s="3" t="n">
        <v>3</v>
      </c>
      <c r="B73" s="3" t="n">
        <v>3.3</v>
      </c>
      <c r="C73" s="3" t="s">
        <v>261</v>
      </c>
      <c r="D73" s="3" t="s">
        <v>246</v>
      </c>
      <c r="E73" s="3" t="n">
        <v>985.505471666666</v>
      </c>
      <c r="F73" s="3" t="n">
        <v>919.459119166666</v>
      </c>
      <c r="G73" s="3" t="n">
        <v>853.318697446075</v>
      </c>
      <c r="H73" s="3" t="n">
        <v>66.0463524999999</v>
      </c>
      <c r="I73" s="3" t="n">
        <v>66.1404217205909</v>
      </c>
      <c r="J73" s="3" t="n">
        <v>132.18677422059</v>
      </c>
      <c r="K73" s="3" t="n">
        <v>282.316229166666</v>
      </c>
      <c r="L73" s="168" t="n">
        <v>-29.9999999999999</v>
      </c>
      <c r="M73" s="3" t="n">
        <v>490.0806725</v>
      </c>
      <c r="N73" s="3" t="n">
        <v>0</v>
      </c>
      <c r="O73" s="3" t="n">
        <v>283.450898333333</v>
      </c>
      <c r="P73" s="3" t="n">
        <v>-150</v>
      </c>
      <c r="Q73" s="3" t="n">
        <v>490.729803333333</v>
      </c>
      <c r="R73" s="168" t="n">
        <v>-120.269121450386</v>
      </c>
      <c r="S73" s="3" t="n">
        <v>282.6918475</v>
      </c>
      <c r="T73" s="3" t="n">
        <v>90</v>
      </c>
      <c r="U73" s="3" t="n">
        <v>488.800975</v>
      </c>
      <c r="V73" s="3" t="n">
        <v>119.773195699909</v>
      </c>
      <c r="W73" s="3" t="n">
        <v>1.29152769166666</v>
      </c>
      <c r="X73" s="3" t="n">
        <v>-43.851212448448</v>
      </c>
      <c r="Y73" s="3" t="n">
        <v>1.30355000833333</v>
      </c>
      <c r="Z73" s="3" t="n">
        <v>-167.110526465232</v>
      </c>
      <c r="AA73" s="3" t="n">
        <v>1.20904104166666</v>
      </c>
      <c r="AB73" s="3" t="n">
        <v>73.0510987139357</v>
      </c>
      <c r="AC73" s="3" t="n">
        <v>334.845274166666</v>
      </c>
      <c r="AD73" s="3" t="n">
        <v>339.2900125</v>
      </c>
      <c r="AE73" s="3" t="n">
        <v>311.370185</v>
      </c>
      <c r="AF73" s="3" t="n">
        <v>122.03921</v>
      </c>
      <c r="AG73" s="168" t="n">
        <v>-119.958843954817</v>
      </c>
      <c r="AH73" s="3" t="n">
        <v>121.8307475</v>
      </c>
      <c r="AI73" s="3" t="n">
        <v>-0.176688059136708</v>
      </c>
      <c r="AJ73" s="3" t="n">
        <v>122.093904999999</v>
      </c>
      <c r="AK73" s="168" t="n">
        <v>119.788266737693</v>
      </c>
      <c r="AL73" s="3" t="n">
        <v>3.11596253333333</v>
      </c>
      <c r="AM73" s="3" t="n">
        <v>-153.30384932087</v>
      </c>
      <c r="AN73" s="3" t="n">
        <v>2.961507775</v>
      </c>
      <c r="AO73" s="3" t="n">
        <v>-34.1538256008925</v>
      </c>
      <c r="AP73" s="3" t="n">
        <v>2.851399325</v>
      </c>
      <c r="AQ73" s="3" t="n">
        <v>90.1508486812079</v>
      </c>
      <c r="AR73" s="3" t="n">
        <v>317.667828333333</v>
      </c>
      <c r="AS73" s="3" t="n">
        <v>299.1992975</v>
      </c>
      <c r="AT73" s="3" t="n">
        <v>302.591993333333</v>
      </c>
      <c r="AU73" s="168" t="n">
        <v>24.1020573583333</v>
      </c>
      <c r="AV73" s="168" t="n">
        <v>24.0045048833333</v>
      </c>
      <c r="AW73" s="168" t="n">
        <v>24.0262117</v>
      </c>
      <c r="AX73" s="168" t="n">
        <v>1.20247488078692</v>
      </c>
      <c r="AY73" s="168" t="n">
        <v>1.2077022686455</v>
      </c>
      <c r="AZ73" s="168" t="n">
        <v>1.17524417021072</v>
      </c>
      <c r="BA73" s="3" t="n">
        <v>28.9821184973782</v>
      </c>
      <c r="BB73" s="3" t="n">
        <v>28.9902949508571</v>
      </c>
      <c r="BC73" s="3" t="n">
        <v>28.2366651677066</v>
      </c>
      <c r="BD73" s="168" t="n">
        <v>18.195368125</v>
      </c>
      <c r="BE73" s="168" t="n">
        <v>18.2447485416666</v>
      </c>
      <c r="BF73" s="3" t="n">
        <v>18.3029577166666</v>
      </c>
      <c r="BG73" s="168" t="n">
        <v>3.87923417759134</v>
      </c>
      <c r="BH73" s="168" t="n">
        <v>3.86830257090225</v>
      </c>
      <c r="BI73" s="3" t="n">
        <v>3.68312902396678</v>
      </c>
      <c r="BJ73" s="3" t="n">
        <v>70.5840940257848</v>
      </c>
      <c r="BK73" s="3" t="n">
        <v>70.5762076681699</v>
      </c>
      <c r="BL73" s="3" t="n">
        <v>67.4121400528456</v>
      </c>
      <c r="BM73" s="3" t="n">
        <v>193.137114583333</v>
      </c>
      <c r="BN73" s="3" t="n">
        <v>179.857385416666</v>
      </c>
      <c r="BO73" s="3" t="n">
        <v>185.542677083333</v>
      </c>
      <c r="BP73" s="3" t="n">
        <v>0</v>
      </c>
      <c r="BQ73" s="3" t="n">
        <v>0</v>
      </c>
      <c r="BR73" s="3" t="n">
        <v>0</v>
      </c>
      <c r="BS73" s="169"/>
      <c r="BT73" s="169"/>
      <c r="BU73" s="169"/>
      <c r="BV73" s="169"/>
      <c r="BW73" s="169"/>
      <c r="BX73" s="169"/>
      <c r="BY73" s="169"/>
    </row>
    <row r="74" customFormat="false" ht="12.75" hidden="true" customHeight="false" outlineLevel="0" collapsed="false">
      <c r="A74" s="3" t="n">
        <v>3</v>
      </c>
      <c r="B74" s="3" t="n">
        <v>3.3</v>
      </c>
      <c r="C74" s="3" t="s">
        <v>262</v>
      </c>
      <c r="D74" s="3" t="s">
        <v>246</v>
      </c>
      <c r="E74" s="3" t="n">
        <v>985.246070833333</v>
      </c>
      <c r="F74" s="3" t="n">
        <v>919.359429166666</v>
      </c>
      <c r="G74" s="3" t="n">
        <v>853.304032403156</v>
      </c>
      <c r="H74" s="3" t="n">
        <v>65.8866416666666</v>
      </c>
      <c r="I74" s="3" t="n">
        <v>66.05539676351</v>
      </c>
      <c r="J74" s="3" t="n">
        <v>131.942038430176</v>
      </c>
      <c r="K74" s="3" t="n">
        <v>281.910795833333</v>
      </c>
      <c r="L74" s="168" t="n">
        <v>-29.9999999999999</v>
      </c>
      <c r="M74" s="3" t="n">
        <v>489.4373575</v>
      </c>
      <c r="N74" s="3" t="n">
        <v>0</v>
      </c>
      <c r="O74" s="3" t="n">
        <v>283.058485833333</v>
      </c>
      <c r="P74" s="3" t="n">
        <v>-150</v>
      </c>
      <c r="Q74" s="3" t="n">
        <v>489.954979166666</v>
      </c>
      <c r="R74" s="168" t="n">
        <v>-120.216988101546</v>
      </c>
      <c r="S74" s="3" t="n">
        <v>282.210360833333</v>
      </c>
      <c r="T74" s="3" t="n">
        <v>90</v>
      </c>
      <c r="U74" s="3" t="n">
        <v>488.003255</v>
      </c>
      <c r="V74" s="3" t="n">
        <v>119.843201554142</v>
      </c>
      <c r="W74" s="168" t="n">
        <v>1.292397525</v>
      </c>
      <c r="X74" s="3" t="n">
        <v>-43.7791718606128</v>
      </c>
      <c r="Y74" s="3" t="n">
        <v>1.304532625</v>
      </c>
      <c r="Z74" s="3" t="n">
        <v>-167.002026496529</v>
      </c>
      <c r="AA74" s="3" t="n">
        <v>1.20981079166666</v>
      </c>
      <c r="AB74" s="3" t="n">
        <v>73.1828695335161</v>
      </c>
      <c r="AC74" s="3" t="n">
        <v>334.812815833333</v>
      </c>
      <c r="AD74" s="3" t="n">
        <v>339.21574</v>
      </c>
      <c r="AE74" s="3" t="n">
        <v>311.217515</v>
      </c>
      <c r="AF74" s="3" t="n">
        <v>121.870795833333</v>
      </c>
      <c r="AG74" s="168" t="n">
        <v>-120.032437521205</v>
      </c>
      <c r="AH74" s="3" t="n">
        <v>121.62258</v>
      </c>
      <c r="AI74" s="3" t="n">
        <v>-0.176535024720806</v>
      </c>
      <c r="AJ74" s="3" t="n">
        <v>121.9009425</v>
      </c>
      <c r="AK74" s="168" t="n">
        <v>119.784901345419</v>
      </c>
      <c r="AL74" s="3" t="n">
        <v>3.11853278333333</v>
      </c>
      <c r="AM74" s="3" t="n">
        <v>-153.332799503569</v>
      </c>
      <c r="AN74" s="3" t="n">
        <v>2.96336570833333</v>
      </c>
      <c r="AO74" s="3" t="n">
        <v>-34.0499934263542</v>
      </c>
      <c r="AP74" s="3" t="n">
        <v>2.854693375</v>
      </c>
      <c r="AQ74" s="3" t="n">
        <v>90.1484845342573</v>
      </c>
      <c r="AR74" s="3" t="n">
        <v>317.6539775</v>
      </c>
      <c r="AS74" s="3" t="n">
        <v>299.239549166666</v>
      </c>
      <c r="AT74" s="3" t="n">
        <v>302.465902499999</v>
      </c>
      <c r="AU74" s="168" t="n">
        <v>24.0999152916666</v>
      </c>
      <c r="AV74" s="168" t="n">
        <v>24.0026917833333</v>
      </c>
      <c r="AW74" s="168" t="n">
        <v>24.0218179833333</v>
      </c>
      <c r="AX74" s="168" t="n">
        <v>1.20510667268828</v>
      </c>
      <c r="AY74" s="168" t="n">
        <v>1.20979005665446</v>
      </c>
      <c r="AZ74" s="168" t="n">
        <v>1.1763783420586</v>
      </c>
      <c r="BA74" s="3" t="n">
        <v>29.042968664015</v>
      </c>
      <c r="BB74" s="3" t="n">
        <v>29.0382178463754</v>
      </c>
      <c r="BC74" s="3" t="n">
        <v>28.2587464750385</v>
      </c>
      <c r="BD74" s="168" t="n">
        <v>18.1886936166666</v>
      </c>
      <c r="BE74" s="168" t="n">
        <v>18.2456292666666</v>
      </c>
      <c r="BF74" s="3" t="n">
        <v>18.3030565666666</v>
      </c>
      <c r="BG74" s="168" t="n">
        <v>3.89128273801817</v>
      </c>
      <c r="BH74" s="168" t="n">
        <v>3.86880237100705</v>
      </c>
      <c r="BI74" s="3" t="n">
        <v>3.68333602403502</v>
      </c>
      <c r="BJ74" s="3" t="n">
        <v>70.7773494672583</v>
      </c>
      <c r="BK74" s="3" t="n">
        <v>70.5887336679684</v>
      </c>
      <c r="BL74" s="3" t="n">
        <v>67.4162975325008</v>
      </c>
      <c r="BM74" s="3" t="n">
        <v>192.884934027777</v>
      </c>
      <c r="BN74" s="3" t="n">
        <v>179.835010416666</v>
      </c>
      <c r="BO74" s="3" t="n">
        <v>185.461774305555</v>
      </c>
      <c r="BP74" s="3" t="n">
        <v>0</v>
      </c>
      <c r="BQ74" s="3" t="n">
        <v>0</v>
      </c>
      <c r="BR74" s="3" t="n">
        <v>0</v>
      </c>
      <c r="BS74" s="169"/>
      <c r="BT74" s="169"/>
      <c r="BU74" s="169"/>
      <c r="BV74" s="169"/>
      <c r="BW74" s="169"/>
      <c r="BX74" s="169"/>
      <c r="BY74" s="169"/>
    </row>
    <row r="75" customFormat="false" ht="12.75" hidden="true" customHeight="false" outlineLevel="0" collapsed="false">
      <c r="A75" s="3" t="n">
        <v>3</v>
      </c>
      <c r="B75" s="3" t="n">
        <v>3.4</v>
      </c>
      <c r="C75" s="3" t="s">
        <v>263</v>
      </c>
      <c r="D75" s="3" t="s">
        <v>246</v>
      </c>
      <c r="E75" s="3" t="n">
        <v>1616.19207666666</v>
      </c>
      <c r="F75" s="3" t="n">
        <v>1532.1429225</v>
      </c>
      <c r="G75" s="3" t="n">
        <v>1465.02188699937</v>
      </c>
      <c r="H75" s="3" t="n">
        <v>84.0491541666666</v>
      </c>
      <c r="I75" s="3" t="n">
        <v>67.1210355006301</v>
      </c>
      <c r="J75" s="3" t="n">
        <v>151.170189667296</v>
      </c>
      <c r="K75" s="3" t="n">
        <v>281.618941666666</v>
      </c>
      <c r="L75" s="3" t="n">
        <v>-29.9999999999999</v>
      </c>
      <c r="M75" s="3" t="n">
        <v>489.0994</v>
      </c>
      <c r="N75" s="3" t="n">
        <v>0</v>
      </c>
      <c r="O75" s="3" t="n">
        <v>282.98108</v>
      </c>
      <c r="P75" s="3" t="n">
        <v>-150</v>
      </c>
      <c r="Q75" s="3" t="n">
        <v>489.85814</v>
      </c>
      <c r="R75" s="3" t="n">
        <v>-120.289137722831</v>
      </c>
      <c r="S75" s="3" t="n">
        <v>282.0581925</v>
      </c>
      <c r="T75" s="3" t="n">
        <v>90</v>
      </c>
      <c r="U75" s="3" t="n">
        <v>487.534855833333</v>
      </c>
      <c r="V75" s="3" t="n">
        <v>119.812240063908</v>
      </c>
      <c r="W75" s="3" t="n">
        <v>1.97219939166666</v>
      </c>
      <c r="X75" s="3" t="n">
        <v>-34.9262025399593</v>
      </c>
      <c r="Y75" s="3" t="n">
        <v>1.98796985</v>
      </c>
      <c r="Z75" s="3" t="n">
        <v>-156.324334917239</v>
      </c>
      <c r="AA75" s="3" t="n">
        <v>1.918759325</v>
      </c>
      <c r="AB75" s="3" t="n">
        <v>83.7844937415401</v>
      </c>
      <c r="AC75" s="3" t="n">
        <v>539.900735</v>
      </c>
      <c r="AD75" s="3" t="n">
        <v>549.038308333333</v>
      </c>
      <c r="AE75" s="3" t="n">
        <v>527.253033333333</v>
      </c>
      <c r="AF75" s="3" t="n">
        <v>121.013551666666</v>
      </c>
      <c r="AG75" s="3" t="n">
        <v>-120.192108703331</v>
      </c>
      <c r="AH75" s="3" t="n">
        <v>120.6715775</v>
      </c>
      <c r="AI75" s="3" t="n">
        <v>-0.374399206931528</v>
      </c>
      <c r="AJ75" s="3" t="n">
        <v>120.9665275</v>
      </c>
      <c r="AK75" s="3" t="n">
        <v>119.571159681201</v>
      </c>
      <c r="AL75" s="3" t="n">
        <v>4.59368343333333</v>
      </c>
      <c r="AM75" s="3" t="n">
        <v>-143.449794161202</v>
      </c>
      <c r="AN75" s="3" t="n">
        <v>4.54230650833333</v>
      </c>
      <c r="AO75" s="3" t="n">
        <v>-22.9716749227607</v>
      </c>
      <c r="AP75" s="3" t="n">
        <v>4.52841388333333</v>
      </c>
      <c r="AQ75" s="3" t="n">
        <v>99.762008483145</v>
      </c>
      <c r="AR75" s="3" t="n">
        <v>510.724568333333</v>
      </c>
      <c r="AS75" s="3" t="n">
        <v>506.0467525</v>
      </c>
      <c r="AT75" s="3" t="n">
        <v>515.371601666666</v>
      </c>
      <c r="AU75" s="3" t="n">
        <v>24.0970522083333</v>
      </c>
      <c r="AV75" s="3" t="n">
        <v>23.995566975</v>
      </c>
      <c r="AW75" s="3" t="n">
        <v>24.0169405666666</v>
      </c>
      <c r="AX75" s="3" t="n">
        <v>1.21317078622842</v>
      </c>
      <c r="AY75" s="3" t="n">
        <v>1.20904709912798</v>
      </c>
      <c r="AZ75" s="3" t="n">
        <v>1.17242680131707</v>
      </c>
      <c r="BA75" s="3" t="n">
        <v>29.2338397890396</v>
      </c>
      <c r="BB75" s="3" t="n">
        <v>29.0117706855701</v>
      </c>
      <c r="BC75" s="3" t="n">
        <v>28.1581048314387</v>
      </c>
      <c r="BD75" s="3" t="n">
        <v>18.1908197916666</v>
      </c>
      <c r="BE75" s="3" t="n">
        <v>18.2462106666666</v>
      </c>
      <c r="BF75" s="3" t="n">
        <v>18.3058874666666</v>
      </c>
      <c r="BG75" s="3" t="n">
        <v>3.88477226008714</v>
      </c>
      <c r="BH75" s="3" t="n">
        <v>3.8612062775362</v>
      </c>
      <c r="BI75" s="3" t="n">
        <v>3.69158512336124</v>
      </c>
      <c r="BJ75" s="3" t="n">
        <v>70.6671934096844</v>
      </c>
      <c r="BK75" s="3" t="n">
        <v>70.4523832882194</v>
      </c>
      <c r="BL75" s="3" t="n">
        <v>67.5777408287509</v>
      </c>
      <c r="BM75" s="3" t="n">
        <v>0</v>
      </c>
      <c r="BN75" s="3" t="n">
        <v>0</v>
      </c>
      <c r="BO75" s="3" t="n">
        <v>0</v>
      </c>
      <c r="BP75" s="3" t="n">
        <v>385.087072916666</v>
      </c>
      <c r="BQ75" s="3" t="n">
        <v>386.3358125</v>
      </c>
      <c r="BR75" s="3" t="n">
        <v>398.49796875</v>
      </c>
      <c r="BS75" s="169"/>
      <c r="BT75" s="169"/>
      <c r="BU75" s="169"/>
      <c r="BV75" s="169"/>
      <c r="BW75" s="169"/>
      <c r="BX75" s="169"/>
      <c r="BY75" s="169"/>
    </row>
    <row r="76" customFormat="false" ht="12.75" hidden="true" customHeight="false" outlineLevel="0" collapsed="false">
      <c r="A76" s="3" t="n">
        <v>3</v>
      </c>
      <c r="B76" s="3" t="n">
        <v>3.4</v>
      </c>
      <c r="C76" s="3" t="s">
        <v>264</v>
      </c>
      <c r="D76" s="3" t="s">
        <v>246</v>
      </c>
      <c r="E76" s="3" t="n">
        <v>1612.06912416666</v>
      </c>
      <c r="F76" s="3" t="n">
        <v>1528.1812475</v>
      </c>
      <c r="G76" s="3" t="n">
        <v>1461.25747510837</v>
      </c>
      <c r="H76" s="3" t="n">
        <v>83.8878766666666</v>
      </c>
      <c r="I76" s="3" t="n">
        <v>66.9237723916277</v>
      </c>
      <c r="J76" s="3" t="n">
        <v>150.811649058294</v>
      </c>
      <c r="K76" s="3" t="n">
        <v>281.6491075</v>
      </c>
      <c r="L76" s="3" t="n">
        <v>-29.9999999999999</v>
      </c>
      <c r="M76" s="3" t="n">
        <v>489.109565</v>
      </c>
      <c r="N76" s="3" t="n">
        <v>0</v>
      </c>
      <c r="O76" s="3" t="n">
        <v>282.933160833333</v>
      </c>
      <c r="P76" s="3" t="n">
        <v>-150</v>
      </c>
      <c r="Q76" s="3" t="n">
        <v>489.723763333333</v>
      </c>
      <c r="R76" s="3" t="n">
        <v>-120.257138260571</v>
      </c>
      <c r="S76" s="3" t="n">
        <v>282.004635833333</v>
      </c>
      <c r="T76" s="3" t="n">
        <v>90</v>
      </c>
      <c r="U76" s="3" t="n">
        <v>487.535395</v>
      </c>
      <c r="V76" s="3" t="n">
        <v>119.795542832838</v>
      </c>
      <c r="W76" s="3" t="n">
        <v>1.96657665833333</v>
      </c>
      <c r="X76" s="3" t="n">
        <v>-34.929627775615</v>
      </c>
      <c r="Y76" s="3" t="n">
        <v>1.98426338333333</v>
      </c>
      <c r="Z76" s="3" t="n">
        <v>-156.383921556173</v>
      </c>
      <c r="AA76" s="3" t="n">
        <v>1.91358456666666</v>
      </c>
      <c r="AB76" s="3" t="n">
        <v>83.6509898308478</v>
      </c>
      <c r="AC76" s="3" t="n">
        <v>538.635794166666</v>
      </c>
      <c r="AD76" s="3" t="n">
        <v>547.850754166666</v>
      </c>
      <c r="AE76" s="3" t="n">
        <v>525.582575833333</v>
      </c>
      <c r="AF76" s="3" t="n">
        <v>121.00775</v>
      </c>
      <c r="AG76" s="3" t="n">
        <v>-120.15986873698</v>
      </c>
      <c r="AH76" s="3" t="n">
        <v>120.664879166666</v>
      </c>
      <c r="AI76" s="3" t="n">
        <v>-0.367925675129242</v>
      </c>
      <c r="AJ76" s="3" t="n">
        <v>120.950539166666</v>
      </c>
      <c r="AK76" s="3" t="n">
        <v>119.604355240165</v>
      </c>
      <c r="AL76" s="3" t="n">
        <v>4.58285584166666</v>
      </c>
      <c r="AM76" s="3" t="n">
        <v>-143.304697328725</v>
      </c>
      <c r="AN76" s="3" t="n">
        <v>4.52337753333333</v>
      </c>
      <c r="AO76" s="3" t="n">
        <v>-22.9282292251705</v>
      </c>
      <c r="AP76" s="3" t="n">
        <v>4.52302400833333</v>
      </c>
      <c r="AQ76" s="3" t="n">
        <v>99.6470167605509</v>
      </c>
      <c r="AR76" s="3" t="n">
        <v>509.926735</v>
      </c>
      <c r="AS76" s="3" t="n">
        <v>504.045003333333</v>
      </c>
      <c r="AT76" s="3" t="n">
        <v>514.209509166666</v>
      </c>
      <c r="AU76" s="3" t="n">
        <v>24.096168</v>
      </c>
      <c r="AV76" s="3" t="n">
        <v>23.9949139666666</v>
      </c>
      <c r="AW76" s="3" t="n">
        <v>24.0170394166666</v>
      </c>
      <c r="AX76" s="3" t="n">
        <v>1.21319579974225</v>
      </c>
      <c r="AY76" s="3" t="n">
        <v>1.20983203132163</v>
      </c>
      <c r="AZ76" s="3" t="n">
        <v>1.17351513236491</v>
      </c>
      <c r="BA76" s="3" t="n">
        <v>29.2333697809021</v>
      </c>
      <c r="BB76" s="3" t="n">
        <v>29.0298155207173</v>
      </c>
      <c r="BC76" s="3" t="n">
        <v>28.1843591704793</v>
      </c>
      <c r="BD76" s="3" t="n">
        <v>18.1942588666666</v>
      </c>
      <c r="BE76" s="3" t="n">
        <v>18.2466868416666</v>
      </c>
      <c r="BF76" s="3" t="n">
        <v>18.3054363</v>
      </c>
      <c r="BG76" s="3" t="n">
        <v>3.88160722451463</v>
      </c>
      <c r="BH76" s="3" t="n">
        <v>3.86372263742618</v>
      </c>
      <c r="BI76" s="3" t="n">
        <v>3.6939933816876</v>
      </c>
      <c r="BJ76" s="3" t="n">
        <v>70.6229666048137</v>
      </c>
      <c r="BK76" s="3" t="n">
        <v>70.5001370073379</v>
      </c>
      <c r="BL76" s="3" t="n">
        <v>67.620160357455</v>
      </c>
      <c r="BM76" s="3" t="n">
        <v>0</v>
      </c>
      <c r="BN76" s="3" t="n">
        <v>0</v>
      </c>
      <c r="BO76" s="3" t="n">
        <v>0</v>
      </c>
      <c r="BP76" s="3" t="n">
        <v>384.419104166666</v>
      </c>
      <c r="BQ76" s="3" t="n">
        <v>384.37725</v>
      </c>
      <c r="BR76" s="3" t="n">
        <v>397.2703125</v>
      </c>
      <c r="BS76" s="169"/>
      <c r="BT76" s="169"/>
      <c r="BU76" s="169"/>
      <c r="BV76" s="169"/>
      <c r="BW76" s="169"/>
      <c r="BX76" s="169"/>
      <c r="BY76" s="169"/>
    </row>
    <row r="77" customFormat="false" ht="12.75" hidden="true" customHeight="false" outlineLevel="0" collapsed="false">
      <c r="A77" s="3" t="n">
        <v>3</v>
      </c>
      <c r="B77" s="3" t="n">
        <v>3.4</v>
      </c>
      <c r="C77" s="3" t="s">
        <v>265</v>
      </c>
      <c r="D77" s="3" t="s">
        <v>246</v>
      </c>
      <c r="E77" s="3" t="n">
        <v>1611.21903916666</v>
      </c>
      <c r="F77" s="3" t="n">
        <v>1527.16446166666</v>
      </c>
      <c r="G77" s="3" t="n">
        <v>1460.30138279733</v>
      </c>
      <c r="H77" s="3" t="n">
        <v>84.0545774999999</v>
      </c>
      <c r="I77" s="3" t="n">
        <v>66.8630788693339</v>
      </c>
      <c r="J77" s="3" t="n">
        <v>150.917656369333</v>
      </c>
      <c r="K77" s="3" t="n">
        <v>281.951929166666</v>
      </c>
      <c r="L77" s="3" t="n">
        <v>-29.9999999999999</v>
      </c>
      <c r="M77" s="3" t="n">
        <v>489.469486666666</v>
      </c>
      <c r="N77" s="3" t="n">
        <v>0</v>
      </c>
      <c r="O77" s="3" t="n">
        <v>283.10051</v>
      </c>
      <c r="P77" s="3" t="n">
        <v>-150</v>
      </c>
      <c r="Q77" s="3" t="n">
        <v>490.107453333333</v>
      </c>
      <c r="R77" s="3" t="n">
        <v>-120.247369662326</v>
      </c>
      <c r="S77" s="3" t="n">
        <v>282.3210975</v>
      </c>
      <c r="T77" s="3" t="n">
        <v>90</v>
      </c>
      <c r="U77" s="3" t="n">
        <v>488.154303333333</v>
      </c>
      <c r="V77" s="3" t="n">
        <v>119.789208911774</v>
      </c>
      <c r="W77" s="3" t="n">
        <v>1.96431786666666</v>
      </c>
      <c r="X77" s="3" t="n">
        <v>-34.906017782891</v>
      </c>
      <c r="Y77" s="3" t="n">
        <v>1.98189179999999</v>
      </c>
      <c r="Z77" s="3" t="n">
        <v>-156.448992983709</v>
      </c>
      <c r="AA77" s="3" t="n">
        <v>1.90906978333333</v>
      </c>
      <c r="AB77" s="3" t="n">
        <v>83.6142221114628</v>
      </c>
      <c r="AC77" s="3" t="n">
        <v>538.677029166666</v>
      </c>
      <c r="AD77" s="3" t="n">
        <v>547.581356666666</v>
      </c>
      <c r="AE77" s="3" t="n">
        <v>524.960653333333</v>
      </c>
      <c r="AF77" s="3" t="n">
        <v>121.088135833333</v>
      </c>
      <c r="AG77" s="3" t="n">
        <v>-120.156353291563</v>
      </c>
      <c r="AH77" s="3" t="n">
        <v>120.812611666666</v>
      </c>
      <c r="AI77" s="3" t="n">
        <v>-0.366172098322692</v>
      </c>
      <c r="AJ77" s="3" t="n">
        <v>121.0301175</v>
      </c>
      <c r="AK77" s="3" t="n">
        <v>119.626219577298</v>
      </c>
      <c r="AL77" s="3" t="n">
        <v>4.58073193333333</v>
      </c>
      <c r="AM77" s="3" t="n">
        <v>-143.256327157128</v>
      </c>
      <c r="AN77" s="3" t="n">
        <v>4.513584425</v>
      </c>
      <c r="AO77" s="3" t="n">
        <v>-22.9412105011432</v>
      </c>
      <c r="AP77" s="3" t="n">
        <v>4.511323825</v>
      </c>
      <c r="AQ77" s="3" t="n">
        <v>99.7404844778612</v>
      </c>
      <c r="AR77" s="3" t="n">
        <v>510.199511666666</v>
      </c>
      <c r="AS77" s="3" t="n">
        <v>503.515794999999</v>
      </c>
      <c r="AT77" s="3" t="n">
        <v>513.449155</v>
      </c>
      <c r="AU77" s="3" t="n">
        <v>24.0954518583333</v>
      </c>
      <c r="AV77" s="3" t="n">
        <v>23.994376325</v>
      </c>
      <c r="AW77" s="3" t="n">
        <v>24.0170793666666</v>
      </c>
      <c r="AX77" s="3" t="n">
        <v>1.21301679070697</v>
      </c>
      <c r="AY77" s="3" t="n">
        <v>1.21019757769695</v>
      </c>
      <c r="AZ77" s="3" t="n">
        <v>1.17287061776235</v>
      </c>
      <c r="BA77" s="3" t="n">
        <v>29.2281877084665</v>
      </c>
      <c r="BB77" s="3" t="n">
        <v>29.0379360994452</v>
      </c>
      <c r="BC77" s="3" t="n">
        <v>28.1689267262665</v>
      </c>
      <c r="BD77" s="3" t="n">
        <v>18.194251325</v>
      </c>
      <c r="BE77" s="3" t="n">
        <v>18.2471888166666</v>
      </c>
      <c r="BF77" s="3" t="n">
        <v>18.3081283083333</v>
      </c>
      <c r="BG77" s="3" t="n">
        <v>3.8866920201405</v>
      </c>
      <c r="BH77" s="3" t="n">
        <v>3.86420608450446</v>
      </c>
      <c r="BI77" s="3" t="n">
        <v>3.66882720696815</v>
      </c>
      <c r="BJ77" s="3" t="n">
        <v>70.7154513986331</v>
      </c>
      <c r="BK77" s="3" t="n">
        <v>70.5108980737083</v>
      </c>
      <c r="BL77" s="3" t="n">
        <v>67.1693577908129</v>
      </c>
      <c r="BM77" s="3" t="n">
        <v>0</v>
      </c>
      <c r="BN77" s="3" t="n">
        <v>0</v>
      </c>
      <c r="BO77" s="3" t="n">
        <v>0</v>
      </c>
      <c r="BP77" s="3" t="n">
        <v>384.5878125</v>
      </c>
      <c r="BQ77" s="3" t="n">
        <v>383.817322916666</v>
      </c>
      <c r="BR77" s="3" t="n">
        <v>397.065489583333</v>
      </c>
      <c r="BS77" s="169"/>
      <c r="BT77" s="169"/>
      <c r="BU77" s="169"/>
      <c r="BV77" s="169"/>
      <c r="BW77" s="169"/>
      <c r="BX77" s="169"/>
      <c r="BY77" s="169"/>
    </row>
    <row r="78" customFormat="false" ht="12.75" hidden="true" customHeight="false" outlineLevel="0" collapsed="false">
      <c r="A78" s="3" t="n">
        <v>4</v>
      </c>
      <c r="B78" s="3" t="n">
        <v>4.1</v>
      </c>
      <c r="C78" s="3" t="s">
        <v>266</v>
      </c>
      <c r="D78" s="3" t="s">
        <v>246</v>
      </c>
      <c r="E78" s="3" t="n">
        <v>56.802671</v>
      </c>
      <c r="F78" s="168" t="n">
        <v>5.2821515</v>
      </c>
      <c r="G78" s="168" t="n">
        <v>2.83271577524667</v>
      </c>
      <c r="H78" s="3" t="n">
        <v>51.5205195</v>
      </c>
      <c r="I78" s="168" t="n">
        <v>2.44943572475332</v>
      </c>
      <c r="J78" s="3" t="n">
        <v>53.9699552247533</v>
      </c>
      <c r="K78" s="3" t="n">
        <v>281.929184166666</v>
      </c>
      <c r="L78" s="3" t="n">
        <v>-29.9999999999999</v>
      </c>
      <c r="M78" s="3" t="n">
        <v>489.0954125</v>
      </c>
      <c r="N78" s="3" t="n">
        <v>0</v>
      </c>
      <c r="O78" s="3" t="n">
        <v>282.546744166666</v>
      </c>
      <c r="P78" s="3" t="n">
        <v>-150</v>
      </c>
      <c r="Q78" s="3" t="n">
        <v>488.896215833333</v>
      </c>
      <c r="R78" s="3" t="n">
        <v>-120.118903263472</v>
      </c>
      <c r="S78" s="168" t="n">
        <v>281.8139975</v>
      </c>
      <c r="T78" s="3" t="n">
        <v>90</v>
      </c>
      <c r="U78" s="3" t="n">
        <v>487.856833333333</v>
      </c>
      <c r="V78" s="168" t="n">
        <v>119.952334035545</v>
      </c>
      <c r="W78" s="168" t="n">
        <v>0.3510176575</v>
      </c>
      <c r="X78" s="168" t="n">
        <v>-105.319715741178</v>
      </c>
      <c r="Y78" s="168" t="n">
        <v>0.391734883333333</v>
      </c>
      <c r="Z78" s="3" t="n">
        <v>130.811805573537</v>
      </c>
      <c r="AA78" s="168" t="n">
        <v>0.351379236666666</v>
      </c>
      <c r="AB78" s="168" t="n">
        <v>6.6493451406668</v>
      </c>
      <c r="AC78" s="3" t="n">
        <v>24.7177209166666</v>
      </c>
      <c r="AD78" s="168" t="n">
        <v>20.6541170833333</v>
      </c>
      <c r="AE78" s="168" t="n">
        <v>11.430833</v>
      </c>
      <c r="AF78" s="3" t="n">
        <v>123.005460833333</v>
      </c>
      <c r="AG78" s="168" t="n">
        <v>0.061837304638459</v>
      </c>
      <c r="AH78" s="168" t="n">
        <v>122.736653333333</v>
      </c>
      <c r="AI78" s="168" t="n">
        <v>120.011808349255</v>
      </c>
      <c r="AJ78" s="168" t="n">
        <v>122.975841666666</v>
      </c>
      <c r="AK78" s="168" t="n">
        <v>-120.046669524848</v>
      </c>
      <c r="AL78" s="168" t="n">
        <v>0.0597068638333333</v>
      </c>
      <c r="AM78" s="3" t="n">
        <v>-70.451691658062</v>
      </c>
      <c r="AN78" s="168" t="n">
        <v>0.05571171375</v>
      </c>
      <c r="AO78" s="3" t="n">
        <v>41.9222485546782</v>
      </c>
      <c r="AP78" s="168" t="n">
        <v>0.04825333425</v>
      </c>
      <c r="AQ78" s="3" t="n">
        <v>163.810501621473</v>
      </c>
      <c r="AR78" s="168" t="n">
        <v>2.44973388333333</v>
      </c>
      <c r="AS78" s="168" t="n">
        <v>1.411213475</v>
      </c>
      <c r="AT78" s="168" t="n">
        <v>1.42120414166666</v>
      </c>
      <c r="AU78" s="168" t="n">
        <v>24.2654368833333</v>
      </c>
      <c r="AV78" s="168" t="n">
        <v>24.224028925</v>
      </c>
      <c r="AW78" s="168" t="n">
        <v>24.2296639916666</v>
      </c>
      <c r="AX78" s="168" t="n">
        <v>0.041039067418845</v>
      </c>
      <c r="AY78" s="168" t="n">
        <v>0.0216496163710327</v>
      </c>
      <c r="AZ78" s="168" t="n">
        <v>0.0415765889353468</v>
      </c>
      <c r="BA78" s="168" t="n">
        <v>0.995830901797152</v>
      </c>
      <c r="BB78" s="168" t="n">
        <v>0.524440956941774</v>
      </c>
      <c r="BC78" s="168" t="n">
        <v>1.00738682776854</v>
      </c>
      <c r="BD78" s="168" t="n">
        <v>18.985632625</v>
      </c>
      <c r="BE78" s="168" t="n">
        <v>18.5949730666666</v>
      </c>
      <c r="BF78" s="168" t="n">
        <v>18.6992307583333</v>
      </c>
      <c r="BG78" s="168" t="n">
        <v>0.00274074500640584</v>
      </c>
      <c r="BH78" s="168" t="n">
        <v>0.00365921368257836</v>
      </c>
      <c r="BI78" s="168" t="n">
        <v>0.00989234979822638</v>
      </c>
      <c r="BJ78" s="168" t="n">
        <v>0.0520347780722731</v>
      </c>
      <c r="BK78" s="168" t="n">
        <v>0.0680429816545052</v>
      </c>
      <c r="BL78" s="168" t="n">
        <v>0.18497932901243</v>
      </c>
      <c r="BM78" s="3" t="n">
        <v>0</v>
      </c>
      <c r="BN78" s="3" t="n">
        <v>0</v>
      </c>
      <c r="BO78" s="3" t="n">
        <v>0</v>
      </c>
      <c r="BP78" s="3" t="n">
        <v>0</v>
      </c>
      <c r="BQ78" s="3" t="n">
        <v>0</v>
      </c>
      <c r="BR78" s="3" t="n">
        <v>0</v>
      </c>
      <c r="BS78" s="169"/>
      <c r="BT78" s="169"/>
      <c r="BU78" s="169"/>
      <c r="BV78" s="169"/>
      <c r="BW78" s="169"/>
      <c r="BX78" s="169"/>
      <c r="BY78" s="169"/>
    </row>
    <row r="79" customFormat="false" ht="12.75" hidden="true" customHeight="false" outlineLevel="0" collapsed="false">
      <c r="A79" s="3" t="n">
        <v>4</v>
      </c>
      <c r="B79" s="3" t="n">
        <v>4.1</v>
      </c>
      <c r="C79" s="3" t="s">
        <v>267</v>
      </c>
      <c r="D79" s="3" t="s">
        <v>246</v>
      </c>
      <c r="E79" s="3" t="n">
        <v>56.8261364166666</v>
      </c>
      <c r="F79" s="3" t="n">
        <v>5.27344013333333</v>
      </c>
      <c r="G79" s="3" t="n">
        <v>2.83291041188055</v>
      </c>
      <c r="H79" s="3" t="n">
        <v>51.5526962833333</v>
      </c>
      <c r="I79" s="3" t="n">
        <v>2.44052972145277</v>
      </c>
      <c r="J79" s="3" t="n">
        <v>53.9932260047861</v>
      </c>
      <c r="K79" s="3" t="n">
        <v>281.966014166666</v>
      </c>
      <c r="L79" s="3" t="n">
        <v>-29.9999999999999</v>
      </c>
      <c r="M79" s="3" t="n">
        <v>489.129589166666</v>
      </c>
      <c r="N79" s="3" t="n">
        <v>0</v>
      </c>
      <c r="O79" s="3" t="n">
        <v>282.53059</v>
      </c>
      <c r="P79" s="3" t="n">
        <v>-150</v>
      </c>
      <c r="Q79" s="3" t="n">
        <v>488.835548333333</v>
      </c>
      <c r="R79" s="168" t="n">
        <v>-120.17873201371</v>
      </c>
      <c r="S79" s="3" t="n">
        <v>281.7959925</v>
      </c>
      <c r="T79" s="3" t="n">
        <v>90</v>
      </c>
      <c r="U79" s="3" t="n">
        <v>487.888044166666</v>
      </c>
      <c r="V79" s="168" t="n">
        <v>119.950058480505</v>
      </c>
      <c r="W79" s="168" t="n">
        <v>0.351776035</v>
      </c>
      <c r="X79" s="168" t="n">
        <v>-105.307930302955</v>
      </c>
      <c r="Y79" s="168" t="n">
        <v>0.3925026275</v>
      </c>
      <c r="Z79" s="168" t="n">
        <v>130.728351656941</v>
      </c>
      <c r="AA79" s="168" t="n">
        <v>0.351865631666666</v>
      </c>
      <c r="AB79" s="168" t="n">
        <v>6.63743854595023</v>
      </c>
      <c r="AC79" s="3" t="n">
        <v>24.7664529166666</v>
      </c>
      <c r="AD79" s="3" t="n">
        <v>20.6401605</v>
      </c>
      <c r="AE79" s="3" t="n">
        <v>11.419523</v>
      </c>
      <c r="AF79" s="3" t="n">
        <v>123.013295833333</v>
      </c>
      <c r="AG79" s="168" t="n">
        <v>0.0620322536692157</v>
      </c>
      <c r="AH79" s="3" t="n">
        <v>122.743934166666</v>
      </c>
      <c r="AI79" s="168" t="n">
        <v>120.013892254962</v>
      </c>
      <c r="AJ79" s="3" t="n">
        <v>122.960053333333</v>
      </c>
      <c r="AK79" s="168" t="n">
        <v>-120.103751188811</v>
      </c>
      <c r="AL79" s="168" t="n">
        <v>0.0603586521666666</v>
      </c>
      <c r="AM79" s="168" t="n">
        <v>-70.6707453304669</v>
      </c>
      <c r="AN79" s="168" t="n">
        <v>0.0547255491666666</v>
      </c>
      <c r="AO79" s="168" t="n">
        <v>42.1186987979342</v>
      </c>
      <c r="AP79" s="168" t="n">
        <v>0.0473049580833333</v>
      </c>
      <c r="AQ79" s="168" t="n">
        <v>163.973822595477</v>
      </c>
      <c r="AR79" s="3" t="n">
        <v>2.45002595833333</v>
      </c>
      <c r="AS79" s="168" t="n">
        <v>1.40860756666666</v>
      </c>
      <c r="AT79" s="3" t="n">
        <v>1.41480660833333</v>
      </c>
      <c r="AU79" s="168" t="n">
        <v>24.2653571083333</v>
      </c>
      <c r="AV79" s="168" t="n">
        <v>24.2237821666666</v>
      </c>
      <c r="AW79" s="168" t="n">
        <v>24.2291347166666</v>
      </c>
      <c r="AX79" s="168" t="n">
        <v>0.0408906131304392</v>
      </c>
      <c r="AY79" s="168" t="n">
        <v>0.0215942378251155</v>
      </c>
      <c r="AZ79" s="168" t="n">
        <v>0.0416101835580519</v>
      </c>
      <c r="BA79" s="3" t="n">
        <v>0.992225354348966</v>
      </c>
      <c r="BB79" s="168" t="n">
        <v>0.523094118534078</v>
      </c>
      <c r="BC79" s="168" t="n">
        <v>1.00817874478607</v>
      </c>
      <c r="BD79" s="168" t="n">
        <v>18.985740825</v>
      </c>
      <c r="BE79" s="168" t="n">
        <v>18.594772825</v>
      </c>
      <c r="BF79" s="168" t="n">
        <v>18.6991818083333</v>
      </c>
      <c r="BG79" s="168" t="n">
        <v>0.00270062568284396</v>
      </c>
      <c r="BH79" s="168" t="n">
        <v>0.00370220183137912</v>
      </c>
      <c r="BI79" s="168" t="n">
        <v>0.0101232883235959</v>
      </c>
      <c r="BJ79" s="168" t="n">
        <v>0.0512733790650067</v>
      </c>
      <c r="BK79" s="168" t="n">
        <v>0.0688416046094753</v>
      </c>
      <c r="BL79" s="168" t="n">
        <v>0.189297210536954</v>
      </c>
      <c r="BM79" s="3" t="n">
        <v>0</v>
      </c>
      <c r="BN79" s="3" t="n">
        <v>0</v>
      </c>
      <c r="BO79" s="3" t="n">
        <v>0</v>
      </c>
      <c r="BP79" s="3" t="n">
        <v>0</v>
      </c>
      <c r="BQ79" s="3" t="n">
        <v>0</v>
      </c>
      <c r="BR79" s="3" t="n">
        <v>0</v>
      </c>
      <c r="BS79" s="169"/>
      <c r="BT79" s="169"/>
      <c r="BU79" s="169"/>
      <c r="BV79" s="169"/>
      <c r="BW79" s="169"/>
      <c r="BX79" s="169"/>
      <c r="BY79" s="169"/>
    </row>
    <row r="80" customFormat="false" ht="12.75" hidden="true" customHeight="false" outlineLevel="0" collapsed="false">
      <c r="A80" s="3" t="n">
        <v>4</v>
      </c>
      <c r="B80" s="3" t="n">
        <v>4.1</v>
      </c>
      <c r="C80" s="3" t="s">
        <v>268</v>
      </c>
      <c r="D80" s="3" t="s">
        <v>246</v>
      </c>
      <c r="E80" s="3" t="n">
        <v>56.7542664166666</v>
      </c>
      <c r="F80" s="3" t="n">
        <v>5.27002031666666</v>
      </c>
      <c r="G80" s="3" t="n">
        <v>2.83353783841084</v>
      </c>
      <c r="H80" s="3" t="n">
        <v>51.4842461</v>
      </c>
      <c r="I80" s="3" t="n">
        <v>2.43648247825582</v>
      </c>
      <c r="J80" s="3" t="n">
        <v>53.9207285782558</v>
      </c>
      <c r="K80" s="3" t="n">
        <v>281.814643333333</v>
      </c>
      <c r="L80" s="3" t="n">
        <v>-29.9999999999999</v>
      </c>
      <c r="M80" s="168" t="n">
        <v>488.841713333333</v>
      </c>
      <c r="N80" s="3" t="n">
        <v>0</v>
      </c>
      <c r="O80" s="168" t="n">
        <v>282.426939166666</v>
      </c>
      <c r="P80" s="3" t="n">
        <v>-150</v>
      </c>
      <c r="Q80" s="3" t="n">
        <v>488.7902475</v>
      </c>
      <c r="R80" s="168" t="n">
        <v>-120.130753922128</v>
      </c>
      <c r="S80" s="3" t="n">
        <v>281.784891666666</v>
      </c>
      <c r="T80" s="3" t="n">
        <v>90</v>
      </c>
      <c r="U80" s="3" t="n">
        <v>487.760248333333</v>
      </c>
      <c r="V80" s="168" t="n">
        <v>119.942403617707</v>
      </c>
      <c r="W80" s="168" t="n">
        <v>0.351288003333333</v>
      </c>
      <c r="X80" s="168" t="n">
        <v>-105.339751109033</v>
      </c>
      <c r="Y80" s="168" t="n">
        <v>0.392050409166666</v>
      </c>
      <c r="Z80" s="168" t="n">
        <v>130.794509316101</v>
      </c>
      <c r="AA80" s="168" t="n">
        <v>0.351749730833333</v>
      </c>
      <c r="AB80" s="168" t="n">
        <v>6.64273289610379</v>
      </c>
      <c r="AC80" s="168" t="n">
        <v>24.6965924999999</v>
      </c>
      <c r="AD80" s="3" t="n">
        <v>20.6362635</v>
      </c>
      <c r="AE80" s="3" t="n">
        <v>11.4214104166666</v>
      </c>
      <c r="AF80" s="168" t="n">
        <v>122.941026666666</v>
      </c>
      <c r="AG80" s="168" t="n">
        <v>0.0623105262871206</v>
      </c>
      <c r="AH80" s="168" t="n">
        <v>122.711923333333</v>
      </c>
      <c r="AI80" s="168" t="n">
        <v>120.006675519174</v>
      </c>
      <c r="AJ80" s="168" t="n">
        <v>122.948705</v>
      </c>
      <c r="AK80" s="168" t="n">
        <v>-120.055237441767</v>
      </c>
      <c r="AL80" s="168" t="n">
        <v>0.0606626816666666</v>
      </c>
      <c r="AM80" s="3" t="n">
        <v>-70.7619733426584</v>
      </c>
      <c r="AN80" s="168" t="n">
        <v>0.0546809815833333</v>
      </c>
      <c r="AO80" s="3" t="n">
        <v>42.1157905596758</v>
      </c>
      <c r="AP80" s="168" t="n">
        <v>0.0472193381666666</v>
      </c>
      <c r="AQ80" s="3" t="n">
        <v>164.028938921508</v>
      </c>
      <c r="AR80" s="3" t="n">
        <v>2.449667975</v>
      </c>
      <c r="AS80" s="3" t="n">
        <v>1.40758715833333</v>
      </c>
      <c r="AT80" s="3" t="n">
        <v>1.41276518333333</v>
      </c>
      <c r="AU80" s="3" t="n">
        <v>24.2652184083333</v>
      </c>
      <c r="AV80" s="3" t="n">
        <v>24.223605175</v>
      </c>
      <c r="AW80" s="3" t="n">
        <v>24.2287616833333</v>
      </c>
      <c r="AX80" s="3" t="n">
        <v>0.0408264971607798</v>
      </c>
      <c r="AY80" s="168" t="n">
        <v>0.0219515367758736</v>
      </c>
      <c r="AZ80" s="3" t="n">
        <v>0.0415015043351512</v>
      </c>
      <c r="BA80" s="3" t="n">
        <v>0.990663900852454</v>
      </c>
      <c r="BB80" s="168" t="n">
        <v>0.531745321595387</v>
      </c>
      <c r="BC80" s="3" t="n">
        <v>1.00553003798867</v>
      </c>
      <c r="BD80" s="3" t="n">
        <v>18.9858738333333</v>
      </c>
      <c r="BE80" s="3" t="n">
        <v>18.5945244416666</v>
      </c>
      <c r="BF80" s="3" t="n">
        <v>18.6989565166666</v>
      </c>
      <c r="BG80" s="3" t="n">
        <v>0.00275901598858861</v>
      </c>
      <c r="BH80" s="3" t="n">
        <v>0.00366669830351519</v>
      </c>
      <c r="BI80" s="168" t="n">
        <v>0.00989551138365533</v>
      </c>
      <c r="BJ80" s="3" t="n">
        <v>0.0523823305883213</v>
      </c>
      <c r="BK80" s="3" t="n">
        <v>0.0681805105246418</v>
      </c>
      <c r="BL80" s="3" t="n">
        <v>0.185035736861365</v>
      </c>
      <c r="BM80" s="168" t="n">
        <v>0</v>
      </c>
      <c r="BN80" s="3" t="n">
        <v>0</v>
      </c>
      <c r="BO80" s="3" t="n">
        <v>0</v>
      </c>
      <c r="BP80" s="3" t="n">
        <v>0</v>
      </c>
      <c r="BQ80" s="3" t="n">
        <v>0</v>
      </c>
      <c r="BR80" s="3" t="n">
        <v>0</v>
      </c>
      <c r="BS80" s="169"/>
      <c r="BT80" s="169"/>
      <c r="BU80" s="169"/>
      <c r="BV80" s="169"/>
      <c r="BW80" s="169"/>
      <c r="BX80" s="169"/>
      <c r="BY80" s="169"/>
    </row>
    <row r="81" customFormat="false" ht="12.75" hidden="true" customHeight="false" outlineLevel="0" collapsed="false">
      <c r="A81" s="3" t="n">
        <v>4</v>
      </c>
      <c r="B81" s="3" t="n">
        <v>4.2</v>
      </c>
      <c r="C81" s="3" t="s">
        <v>269</v>
      </c>
      <c r="D81" s="3" t="s">
        <v>246</v>
      </c>
      <c r="E81" s="3" t="n">
        <v>1614.41454333333</v>
      </c>
      <c r="F81" s="3" t="n">
        <v>1520.96632916666</v>
      </c>
      <c r="G81" s="3" t="n">
        <v>1452.871189631</v>
      </c>
      <c r="H81" s="3" t="n">
        <v>93.4482141666666</v>
      </c>
      <c r="I81" s="3" t="n">
        <v>68.0951395356615</v>
      </c>
      <c r="J81" s="3" t="n">
        <v>161.543353702328</v>
      </c>
      <c r="K81" s="3" t="n">
        <v>282.325633333333</v>
      </c>
      <c r="L81" s="168" t="n">
        <v>-29.9999999999999</v>
      </c>
      <c r="M81" s="3" t="n">
        <v>490.206974166666</v>
      </c>
      <c r="N81" s="3" t="n">
        <v>0</v>
      </c>
      <c r="O81" s="3" t="n">
        <v>283.51525</v>
      </c>
      <c r="P81" s="3" t="n">
        <v>-150</v>
      </c>
      <c r="Q81" s="3" t="n">
        <v>490.716760833333</v>
      </c>
      <c r="R81" s="168" t="n">
        <v>-120.242139469045</v>
      </c>
      <c r="S81" s="3" t="n">
        <v>282.620688333333</v>
      </c>
      <c r="T81" s="3" t="n">
        <v>90</v>
      </c>
      <c r="U81" s="3" t="n">
        <v>488.692348333333</v>
      </c>
      <c r="V81" s="3" t="n">
        <v>119.817208873595</v>
      </c>
      <c r="W81" s="168" t="n">
        <v>1.66477448333333</v>
      </c>
      <c r="X81" s="3" t="n">
        <v>-21.19744803253</v>
      </c>
      <c r="Y81" s="168" t="n">
        <v>2.66559318333333</v>
      </c>
      <c r="Z81" s="168" t="n">
        <v>-154.681935480962</v>
      </c>
      <c r="AA81" s="168" t="n">
        <v>1.79289249166666</v>
      </c>
      <c r="AB81" s="168" t="n">
        <v>61.146792745337</v>
      </c>
      <c r="AC81" s="3" t="n">
        <v>432.207761666666</v>
      </c>
      <c r="AD81" s="3" t="n">
        <v>745.8447775</v>
      </c>
      <c r="AE81" s="3" t="n">
        <v>436.362004166666</v>
      </c>
      <c r="AF81" s="168" t="n">
        <v>120.372143333333</v>
      </c>
      <c r="AG81" s="168" t="n">
        <v>-120.257989528905</v>
      </c>
      <c r="AH81" s="168" t="n">
        <v>122.6029275</v>
      </c>
      <c r="AI81" s="3" t="n">
        <v>-0.0641368765669909</v>
      </c>
      <c r="AJ81" s="168" t="n">
        <v>120.278090833333</v>
      </c>
      <c r="AK81" s="168" t="n">
        <v>119.452598067165</v>
      </c>
      <c r="AL81" s="168" t="n">
        <v>6.127837125</v>
      </c>
      <c r="AM81" s="3" t="n">
        <v>-138.246927867814</v>
      </c>
      <c r="AN81" s="168" t="n">
        <v>1.81521373333333</v>
      </c>
      <c r="AO81" s="168" t="n">
        <v>-57.2660446310199</v>
      </c>
      <c r="AP81" s="168" t="n">
        <v>6.03481698333333</v>
      </c>
      <c r="AQ81" s="168" t="n">
        <v>103.77501391969</v>
      </c>
      <c r="AR81" s="3" t="n">
        <v>701.562911666666</v>
      </c>
      <c r="AS81" s="3" t="n">
        <v>120.551130833333</v>
      </c>
      <c r="AT81" s="3" t="n">
        <v>698.852286666666</v>
      </c>
      <c r="AU81" s="3" t="n">
        <v>24.0949665083333</v>
      </c>
      <c r="AV81" s="3" t="n">
        <v>23.992815225</v>
      </c>
      <c r="AW81" s="3" t="n">
        <v>24.0150511916666</v>
      </c>
      <c r="AX81" s="3" t="n">
        <v>1.21390511958863</v>
      </c>
      <c r="AY81" s="3" t="n">
        <v>1.21079233564098</v>
      </c>
      <c r="AZ81" s="3" t="n">
        <v>1.18505454075889</v>
      </c>
      <c r="BA81" s="3" t="n">
        <v>29.2490031668267</v>
      </c>
      <c r="BB81" s="3" t="n">
        <v>29.0503167890672</v>
      </c>
      <c r="BC81" s="3" t="n">
        <v>28.4591454228977</v>
      </c>
      <c r="BD81" s="3" t="n">
        <v>18.210270025</v>
      </c>
      <c r="BE81" s="3" t="n">
        <v>18.2480154333333</v>
      </c>
      <c r="BF81" s="3" t="n">
        <v>18.3204719166666</v>
      </c>
      <c r="BG81" s="3" t="n">
        <v>3.87843102957545</v>
      </c>
      <c r="BH81" s="3" t="n">
        <v>3.8787837212115</v>
      </c>
      <c r="BI81" s="168" t="n">
        <v>3.57297157364085</v>
      </c>
      <c r="BJ81" s="3" t="n">
        <v>70.6272715584812</v>
      </c>
      <c r="BK81" s="3" t="n">
        <v>70.7801053689645</v>
      </c>
      <c r="BL81" s="3" t="n">
        <v>65.4585035747676</v>
      </c>
      <c r="BM81" s="3" t="n">
        <v>192.208145833333</v>
      </c>
      <c r="BN81" s="3" t="n">
        <v>0</v>
      </c>
      <c r="BO81" s="3" t="n">
        <v>188.85121875</v>
      </c>
      <c r="BP81" s="3" t="n">
        <v>383.64925</v>
      </c>
      <c r="BQ81" s="3" t="n">
        <v>0</v>
      </c>
      <c r="BR81" s="3" t="n">
        <v>394.538229166666</v>
      </c>
      <c r="BS81" s="169"/>
      <c r="BT81" s="169"/>
      <c r="BU81" s="169"/>
      <c r="BV81" s="169"/>
      <c r="BW81" s="169"/>
      <c r="BX81" s="169"/>
      <c r="BY81" s="169"/>
    </row>
    <row r="82" customFormat="false" ht="12.75" hidden="true" customHeight="false" outlineLevel="0" collapsed="false">
      <c r="A82" s="3" t="n">
        <v>4</v>
      </c>
      <c r="B82" s="3" t="n">
        <v>4.2</v>
      </c>
      <c r="C82" s="3" t="s">
        <v>270</v>
      </c>
      <c r="D82" s="3" t="s">
        <v>246</v>
      </c>
      <c r="E82" s="3" t="n">
        <v>1617.86036666666</v>
      </c>
      <c r="F82" s="3" t="n">
        <v>1523.96714583333</v>
      </c>
      <c r="G82" s="3" t="n">
        <v>1455.83640950821</v>
      </c>
      <c r="H82" s="3" t="n">
        <v>93.8932208333333</v>
      </c>
      <c r="I82" s="3" t="n">
        <v>68.1307363251185</v>
      </c>
      <c r="J82" s="3" t="n">
        <v>162.023957158451</v>
      </c>
      <c r="K82" s="3" t="n">
        <v>282.2619725</v>
      </c>
      <c r="L82" s="168" t="n">
        <v>-29.9999999999999</v>
      </c>
      <c r="M82" s="3" t="n">
        <v>490.040176666666</v>
      </c>
      <c r="N82" s="3" t="n">
        <v>0</v>
      </c>
      <c r="O82" s="3" t="n">
        <v>283.449084999999</v>
      </c>
      <c r="P82" s="3" t="n">
        <v>-150</v>
      </c>
      <c r="Q82" s="3" t="n">
        <v>490.7107225</v>
      </c>
      <c r="R82" s="168" t="n">
        <v>-120.237396586795</v>
      </c>
      <c r="S82" s="3" t="n">
        <v>282.650021666666</v>
      </c>
      <c r="T82" s="3" t="n">
        <v>90</v>
      </c>
      <c r="U82" s="3" t="n">
        <v>488.691620833333</v>
      </c>
      <c r="V82" s="3" t="n">
        <v>119.813644377142</v>
      </c>
      <c r="W82" s="168" t="n">
        <v>1.66734940833333</v>
      </c>
      <c r="X82" s="168" t="n">
        <v>-21.1639097811191</v>
      </c>
      <c r="Y82" s="168" t="n">
        <v>2.6719028</v>
      </c>
      <c r="Z82" s="168" t="n">
        <v>-154.663774965131</v>
      </c>
      <c r="AA82" s="168" t="n">
        <v>1.79797896666666</v>
      </c>
      <c r="AB82" s="168" t="n">
        <v>61.1469493427957</v>
      </c>
      <c r="AC82" s="3" t="n">
        <v>432.814509166666</v>
      </c>
      <c r="AD82" s="3" t="n">
        <v>747.451311666666</v>
      </c>
      <c r="AE82" s="3" t="n">
        <v>437.594545833333</v>
      </c>
      <c r="AF82" s="3" t="n">
        <v>120.300339166666</v>
      </c>
      <c r="AG82" s="168" t="n">
        <v>-120.25600556904</v>
      </c>
      <c r="AH82" s="3" t="n">
        <v>122.602356666666</v>
      </c>
      <c r="AI82" s="3" t="n">
        <v>-0.0652248510844373</v>
      </c>
      <c r="AJ82" s="3" t="n">
        <v>120.243709166666</v>
      </c>
      <c r="AK82" s="168" t="n">
        <v>119.45006685092</v>
      </c>
      <c r="AL82" s="168" t="n">
        <v>6.13957154166666</v>
      </c>
      <c r="AM82" s="168" t="n">
        <v>-138.196726873285</v>
      </c>
      <c r="AN82" s="168" t="n">
        <v>1.81567525</v>
      </c>
      <c r="AO82" s="168" t="n">
        <v>-57.2723782627145</v>
      </c>
      <c r="AP82" s="168" t="n">
        <v>6.05421531666666</v>
      </c>
      <c r="AQ82" s="168" t="n">
        <v>103.721802444553</v>
      </c>
      <c r="AR82" s="3" t="n">
        <v>702.678880833333</v>
      </c>
      <c r="AS82" s="3" t="n">
        <v>120.5641025</v>
      </c>
      <c r="AT82" s="3" t="n">
        <v>700.7241625</v>
      </c>
      <c r="AU82" s="3" t="n">
        <v>24.0944522</v>
      </c>
      <c r="AV82" s="3" t="n">
        <v>23.992464425</v>
      </c>
      <c r="AW82" s="3" t="n">
        <v>24.0144297666666</v>
      </c>
      <c r="AX82" s="3" t="n">
        <v>1.21520870232571</v>
      </c>
      <c r="AY82" s="168" t="n">
        <v>1.21123003811251</v>
      </c>
      <c r="AZ82" s="3" t="n">
        <v>1.18540167416861</v>
      </c>
      <c r="BA82" s="3" t="n">
        <v>29.2797879955822</v>
      </c>
      <c r="BB82" s="3" t="n">
        <v>29.0603936123155</v>
      </c>
      <c r="BC82" s="3" t="n">
        <v>28.4667452701379</v>
      </c>
      <c r="BD82" s="3" t="n">
        <v>18.207001275</v>
      </c>
      <c r="BE82" s="3" t="n">
        <v>18.2469893833333</v>
      </c>
      <c r="BF82" s="3" t="n">
        <v>18.3181072</v>
      </c>
      <c r="BG82" s="3" t="n">
        <v>3.87539416099802</v>
      </c>
      <c r="BH82" s="3" t="n">
        <v>3.87841770403403</v>
      </c>
      <c r="BI82" s="168" t="n">
        <v>3.61987470107822</v>
      </c>
      <c r="BJ82" s="3" t="n">
        <v>70.5593042587718</v>
      </c>
      <c r="BK82" s="3" t="n">
        <v>70.7694465931692</v>
      </c>
      <c r="BL82" s="3" t="n">
        <v>66.3092526115711</v>
      </c>
      <c r="BM82" s="3" t="n">
        <v>193.0516875</v>
      </c>
      <c r="BN82" s="3" t="n">
        <v>0</v>
      </c>
      <c r="BO82" s="3" t="n">
        <v>189.542166666666</v>
      </c>
      <c r="BP82" s="3" t="n">
        <v>384.00334375</v>
      </c>
      <c r="BQ82" s="3" t="n">
        <v>0</v>
      </c>
      <c r="BR82" s="3" t="n">
        <v>394.79428125</v>
      </c>
      <c r="BS82" s="169"/>
      <c r="BT82" s="169"/>
      <c r="BU82" s="169"/>
      <c r="BV82" s="169"/>
      <c r="BW82" s="169"/>
      <c r="BX82" s="169"/>
      <c r="BY82" s="169"/>
    </row>
    <row r="83" customFormat="false" ht="12.75" hidden="true" customHeight="false" outlineLevel="0" collapsed="false">
      <c r="A83" s="3" t="n">
        <v>4</v>
      </c>
      <c r="B83" s="3" t="n">
        <v>4.2</v>
      </c>
      <c r="C83" s="3" t="s">
        <v>271</v>
      </c>
      <c r="D83" s="3" t="s">
        <v>246</v>
      </c>
      <c r="E83" s="3" t="n">
        <v>1617.71587083333</v>
      </c>
      <c r="F83" s="3" t="n">
        <v>1523.49286416666</v>
      </c>
      <c r="G83" s="3" t="n">
        <v>1455.53387646534</v>
      </c>
      <c r="H83" s="3" t="n">
        <v>94.2230066666666</v>
      </c>
      <c r="I83" s="3" t="n">
        <v>67.9589877013223</v>
      </c>
      <c r="J83" s="3" t="n">
        <v>162.181994367988</v>
      </c>
      <c r="K83" s="3" t="n">
        <v>283.047973333333</v>
      </c>
      <c r="L83" s="168" t="n">
        <v>-29.9999999999999</v>
      </c>
      <c r="M83" s="3" t="n">
        <v>491.149591666666</v>
      </c>
      <c r="N83" s="3" t="n">
        <v>0</v>
      </c>
      <c r="O83" s="3" t="n">
        <v>284.013549166666</v>
      </c>
      <c r="P83" s="3" t="n">
        <v>-150</v>
      </c>
      <c r="Q83" s="3" t="n">
        <v>491.807674166666</v>
      </c>
      <c r="R83" s="168" t="n">
        <v>-120.178421498976</v>
      </c>
      <c r="S83" s="3" t="n">
        <v>283.42861</v>
      </c>
      <c r="T83" s="3" t="n">
        <v>90</v>
      </c>
      <c r="U83" s="3" t="n">
        <v>490.173391666666</v>
      </c>
      <c r="V83" s="3" t="n">
        <v>119.816734619324</v>
      </c>
      <c r="W83" s="168" t="n">
        <v>1.66211191666666</v>
      </c>
      <c r="X83" s="168" t="n">
        <v>-21.2063235500372</v>
      </c>
      <c r="Y83" s="168" t="n">
        <v>2.664451375</v>
      </c>
      <c r="Z83" s="168" t="n">
        <v>-154.692182117187</v>
      </c>
      <c r="AA83" s="168" t="n">
        <v>1.79427410833333</v>
      </c>
      <c r="AB83" s="3" t="n">
        <v>61.0662446585682</v>
      </c>
      <c r="AC83" s="3" t="n">
        <v>433.047795833333</v>
      </c>
      <c r="AD83" s="3" t="n">
        <v>747.043023333333</v>
      </c>
      <c r="AE83" s="3" t="n">
        <v>437.625051666666</v>
      </c>
      <c r="AF83" s="3" t="n">
        <v>120.566535</v>
      </c>
      <c r="AG83" s="168" t="n">
        <v>-120.254546989916</v>
      </c>
      <c r="AH83" s="3" t="n">
        <v>122.974725833333</v>
      </c>
      <c r="AI83" s="3" t="n">
        <v>-0.0646624651094498</v>
      </c>
      <c r="AJ83" s="3" t="n">
        <v>120.495198333333</v>
      </c>
      <c r="AK83" s="168" t="n">
        <v>119.483396967106</v>
      </c>
      <c r="AL83" s="168" t="n">
        <v>6.12360531666666</v>
      </c>
      <c r="AM83" s="168" t="n">
        <v>-138.156260253039</v>
      </c>
      <c r="AN83" s="168" t="n">
        <v>1.80971006666666</v>
      </c>
      <c r="AO83" s="168" t="n">
        <v>-57.2781226904344</v>
      </c>
      <c r="AP83" s="168" t="n">
        <v>6.03440346666666</v>
      </c>
      <c r="AQ83" s="168" t="n">
        <v>103.911132534819</v>
      </c>
      <c r="AR83" s="3" t="n">
        <v>702.556110833333</v>
      </c>
      <c r="AS83" s="3" t="n">
        <v>120.512221666666</v>
      </c>
      <c r="AT83" s="3" t="n">
        <v>700.424531666666</v>
      </c>
      <c r="AU83" s="3" t="n">
        <v>24.0939819583333</v>
      </c>
      <c r="AV83" s="3" t="n">
        <v>23.99198845</v>
      </c>
      <c r="AW83" s="3" t="n">
        <v>24.0135372583333</v>
      </c>
      <c r="AX83" s="3" t="n">
        <v>1.21559736428526</v>
      </c>
      <c r="AY83" s="3" t="n">
        <v>1.21151457720333</v>
      </c>
      <c r="AZ83" s="3" t="n">
        <v>1.18551481050828</v>
      </c>
      <c r="BA83" s="3" t="n">
        <v>29.2885809637424</v>
      </c>
      <c r="BB83" s="3" t="n">
        <v>29.0666437484946</v>
      </c>
      <c r="BC83" s="3" t="n">
        <v>28.4684040745441</v>
      </c>
      <c r="BD83" s="3" t="n">
        <v>18.2035580916666</v>
      </c>
      <c r="BE83" s="3" t="n">
        <v>18.24734085</v>
      </c>
      <c r="BF83" s="3" t="n">
        <v>18.3189971416666</v>
      </c>
      <c r="BG83" s="3" t="n">
        <v>3.8750208796991</v>
      </c>
      <c r="BH83" s="3" t="n">
        <v>3.87619017014857</v>
      </c>
      <c r="BI83" s="3" t="n">
        <v>3.62242302711151</v>
      </c>
      <c r="BJ83" s="3" t="n">
        <v>70.5391673277084</v>
      </c>
      <c r="BK83" s="3" t="n">
        <v>70.7301632292297</v>
      </c>
      <c r="BL83" s="3" t="n">
        <v>66.3591567049583</v>
      </c>
      <c r="BM83" s="3" t="n">
        <v>193.302635416666</v>
      </c>
      <c r="BN83" s="3" t="n">
        <v>0</v>
      </c>
      <c r="BO83" s="3" t="n">
        <v>189.288302083333</v>
      </c>
      <c r="BP83" s="3" t="n">
        <v>383.66971875</v>
      </c>
      <c r="BQ83" s="3" t="n">
        <v>0</v>
      </c>
      <c r="BR83" s="3" t="n">
        <v>394.821104166666</v>
      </c>
      <c r="BS83" s="169"/>
      <c r="BT83" s="169"/>
      <c r="BU83" s="169"/>
      <c r="BV83" s="169"/>
      <c r="BW83" s="169"/>
      <c r="BX83" s="169"/>
      <c r="BY83" s="169"/>
    </row>
    <row r="84" customFormat="false" ht="12.75" hidden="true" customHeight="false" outlineLevel="0" collapsed="false">
      <c r="A84" s="3" t="n">
        <v>4</v>
      </c>
      <c r="B84" s="3" t="n">
        <v>4.3</v>
      </c>
      <c r="C84" s="3" t="s">
        <v>272</v>
      </c>
      <c r="D84" s="3" t="s">
        <v>246</v>
      </c>
      <c r="E84" s="3" t="n">
        <v>1613.37888916666</v>
      </c>
      <c r="F84" s="3" t="n">
        <v>1524.0160725</v>
      </c>
      <c r="G84" s="3" t="n">
        <v>1457.69768723962</v>
      </c>
      <c r="H84" s="3" t="n">
        <v>89.3628166666667</v>
      </c>
      <c r="I84" s="3" t="n">
        <v>66.3183852603796</v>
      </c>
      <c r="J84" s="3" t="n">
        <v>155.681201927046</v>
      </c>
      <c r="K84" s="3" t="n">
        <v>283.316875</v>
      </c>
      <c r="L84" s="168" t="n">
        <v>-29.9999999999999</v>
      </c>
      <c r="M84" s="3" t="n">
        <v>491.688330833333</v>
      </c>
      <c r="N84" s="3" t="n">
        <v>0</v>
      </c>
      <c r="O84" s="3" t="n">
        <v>284.415381666666</v>
      </c>
      <c r="P84" s="3" t="n">
        <v>-150</v>
      </c>
      <c r="Q84" s="3" t="n">
        <v>492.588231666666</v>
      </c>
      <c r="R84" s="168" t="n">
        <v>-120.184948612451</v>
      </c>
      <c r="S84" s="3" t="n">
        <v>283.837454166666</v>
      </c>
      <c r="T84" s="3" t="n">
        <v>90</v>
      </c>
      <c r="U84" s="3" t="n">
        <v>490.723913333333</v>
      </c>
      <c r="V84" s="3" t="n">
        <v>119.813321781032</v>
      </c>
      <c r="W84" s="168" t="n">
        <v>1.69542054166666</v>
      </c>
      <c r="X84" s="3" t="n">
        <v>-44.9707736987672</v>
      </c>
      <c r="Y84" s="3" t="n">
        <v>1.940866975</v>
      </c>
      <c r="Z84" s="3" t="n">
        <v>-147.575877598054</v>
      </c>
      <c r="AA84" s="168" t="n">
        <v>2.26131599166666</v>
      </c>
      <c r="AB84" s="3" t="n">
        <v>79.7755202543661</v>
      </c>
      <c r="AC84" s="3" t="n">
        <v>451.458519166666</v>
      </c>
      <c r="AD84" s="3" t="n">
        <v>537.5455975</v>
      </c>
      <c r="AE84" s="3" t="n">
        <v>624.3747725</v>
      </c>
      <c r="AF84" s="3" t="n">
        <v>122.421936666666</v>
      </c>
      <c r="AG84" s="168" t="n">
        <v>-119.976221240907</v>
      </c>
      <c r="AH84" s="3" t="n">
        <v>121.410689166666</v>
      </c>
      <c r="AI84" s="3" t="n">
        <v>-0.394244213613788</v>
      </c>
      <c r="AJ84" s="3" t="n">
        <v>120.540829166666</v>
      </c>
      <c r="AK84" s="168" t="n">
        <v>119.54141691838</v>
      </c>
      <c r="AL84" s="3" t="n">
        <v>3.09189379166666</v>
      </c>
      <c r="AM84" s="3" t="n">
        <v>-152.791704383287</v>
      </c>
      <c r="AN84" s="3" t="n">
        <v>4.50918535</v>
      </c>
      <c r="AO84" s="3" t="n">
        <v>-23.0071936849361</v>
      </c>
      <c r="AP84" s="3" t="n">
        <v>6.02478886666666</v>
      </c>
      <c r="AQ84" s="3" t="n">
        <v>104.25184381838</v>
      </c>
      <c r="AR84" s="3" t="n">
        <v>318.1120275</v>
      </c>
      <c r="AS84" s="3" t="n">
        <v>505.375966666666</v>
      </c>
      <c r="AT84" s="3" t="n">
        <v>700.528078333333</v>
      </c>
      <c r="AU84" s="168" t="n">
        <v>24.0927755249999</v>
      </c>
      <c r="AV84" s="168" t="n">
        <v>23.9923281916666</v>
      </c>
      <c r="AW84" s="168" t="n">
        <v>24.0131402833333</v>
      </c>
      <c r="AX84" s="3" t="n">
        <v>1.21614242223292</v>
      </c>
      <c r="AY84" s="3" t="n">
        <v>1.21302934504711</v>
      </c>
      <c r="AZ84" s="168" t="n">
        <v>1.18429434789421</v>
      </c>
      <c r="BA84" s="3" t="n">
        <v>29.3002463826728</v>
      </c>
      <c r="BB84" s="3" t="n">
        <v>29.1033981620719</v>
      </c>
      <c r="BC84" s="3" t="n">
        <v>28.4386263018857</v>
      </c>
      <c r="BD84" s="168" t="n">
        <v>18.2080723333333</v>
      </c>
      <c r="BE84" s="168" t="n">
        <v>18.2469743833333</v>
      </c>
      <c r="BF84" s="168" t="n">
        <v>18.33462275</v>
      </c>
      <c r="BG84" s="168" t="n">
        <v>3.88018580297635</v>
      </c>
      <c r="BH84" s="168" t="n">
        <v>3.8818408457325</v>
      </c>
      <c r="BI84" s="168" t="n">
        <v>3.54299397428152</v>
      </c>
      <c r="BJ84" s="3" t="n">
        <v>70.6507033917811</v>
      </c>
      <c r="BK84" s="3" t="n">
        <v>70.8318504835431</v>
      </c>
      <c r="BL84" s="3" t="n">
        <v>64.9594146009988</v>
      </c>
      <c r="BM84" s="3" t="n">
        <v>193.3185</v>
      </c>
      <c r="BN84" s="3" t="n">
        <v>0</v>
      </c>
      <c r="BO84" s="3" t="n">
        <v>189.220833333333</v>
      </c>
      <c r="BP84" s="3" t="n">
        <v>0</v>
      </c>
      <c r="BQ84" s="3" t="n">
        <v>385.404395833333</v>
      </c>
      <c r="BR84" s="3" t="n">
        <v>396.46971875</v>
      </c>
      <c r="BS84" s="169"/>
      <c r="BT84" s="169"/>
      <c r="BU84" s="169"/>
      <c r="BV84" s="169"/>
      <c r="BW84" s="169"/>
      <c r="BX84" s="169"/>
      <c r="BY84" s="169"/>
    </row>
    <row r="85" customFormat="false" ht="12.75" hidden="true" customHeight="false" outlineLevel="0" collapsed="false">
      <c r="A85" s="3" t="n">
        <v>4</v>
      </c>
      <c r="B85" s="3" t="n">
        <v>4.3</v>
      </c>
      <c r="C85" s="3" t="s">
        <v>273</v>
      </c>
      <c r="D85" s="3" t="s">
        <v>246</v>
      </c>
      <c r="E85" s="3" t="n">
        <v>1612.42149583333</v>
      </c>
      <c r="F85" s="3" t="n">
        <v>1522.9385425</v>
      </c>
      <c r="G85" s="3" t="n">
        <v>1456.30821534117</v>
      </c>
      <c r="H85" s="3" t="n">
        <v>89.4829533333333</v>
      </c>
      <c r="I85" s="3" t="n">
        <v>66.6303271588241</v>
      </c>
      <c r="J85" s="3" t="n">
        <v>156.113280492157</v>
      </c>
      <c r="K85" s="3" t="n">
        <v>283.493225833333</v>
      </c>
      <c r="L85" s="168" t="n">
        <v>-29.9999999999999</v>
      </c>
      <c r="M85" s="3" t="n">
        <v>491.918019166666</v>
      </c>
      <c r="N85" s="3" t="n">
        <v>0</v>
      </c>
      <c r="O85" s="3" t="n">
        <v>284.394785833333</v>
      </c>
      <c r="P85" s="3" t="n">
        <v>-150</v>
      </c>
      <c r="Q85" s="3" t="n">
        <v>492.362586666666</v>
      </c>
      <c r="R85" s="168" t="n">
        <v>-120.169339164924</v>
      </c>
      <c r="S85" s="3" t="n">
        <v>283.750354166666</v>
      </c>
      <c r="T85" s="3" t="n">
        <v>90</v>
      </c>
      <c r="U85" s="3" t="n">
        <v>490.838520833333</v>
      </c>
      <c r="V85" s="3" t="n">
        <v>119.876819763731</v>
      </c>
      <c r="W85" s="168" t="n">
        <v>1.693706875</v>
      </c>
      <c r="X85" s="3" t="n">
        <v>-44.9790175460752</v>
      </c>
      <c r="Y85" s="3" t="n">
        <v>1.94046529166666</v>
      </c>
      <c r="Z85" s="3" t="n">
        <v>-147.585324231574</v>
      </c>
      <c r="AA85" s="3" t="n">
        <v>2.26078605</v>
      </c>
      <c r="AB85" s="3" t="n">
        <v>79.764864025103</v>
      </c>
      <c r="AC85" s="3" t="n">
        <v>451.256760833333</v>
      </c>
      <c r="AD85" s="3" t="n">
        <v>537.282459166666</v>
      </c>
      <c r="AE85" s="3" t="n">
        <v>623.882275833333</v>
      </c>
      <c r="AF85" s="3" t="n">
        <v>122.481462499999</v>
      </c>
      <c r="AG85" s="168" t="n">
        <v>-120.041235984312</v>
      </c>
      <c r="AH85" s="3" t="n">
        <v>121.420069166666</v>
      </c>
      <c r="AI85" s="3" t="n">
        <v>-0.394700930669898</v>
      </c>
      <c r="AJ85" s="3" t="n">
        <v>120.475801666666</v>
      </c>
      <c r="AK85" s="168" t="n">
        <v>119.507251708716</v>
      </c>
      <c r="AL85" s="3" t="n">
        <v>3.08853193333333</v>
      </c>
      <c r="AM85" s="3" t="n">
        <v>-152.860330467543</v>
      </c>
      <c r="AN85" s="168" t="n">
        <v>4.49958521666666</v>
      </c>
      <c r="AO85" s="3" t="n">
        <v>-23.0119346970858</v>
      </c>
      <c r="AP85" s="3" t="n">
        <v>6.03241265</v>
      </c>
      <c r="AQ85" s="3" t="n">
        <v>104.119650224559</v>
      </c>
      <c r="AR85" s="3" t="n">
        <v>317.907766666666</v>
      </c>
      <c r="AS85" s="3" t="n">
        <v>504.323475833333</v>
      </c>
      <c r="AT85" s="3" t="n">
        <v>700.7073</v>
      </c>
      <c r="AU85" s="168" t="n">
        <v>24.0928951833333</v>
      </c>
      <c r="AV85" s="168" t="n">
        <v>23.9923173333333</v>
      </c>
      <c r="AW85" s="168" t="n">
        <v>24.01402925</v>
      </c>
      <c r="AX85" s="3" t="n">
        <v>1.21414510780902</v>
      </c>
      <c r="AY85" s="3" t="n">
        <v>1.2135802770318</v>
      </c>
      <c r="AZ85" s="168" t="n">
        <v>1.18404096525969</v>
      </c>
      <c r="BA85" s="3" t="n">
        <v>29.2522707485229</v>
      </c>
      <c r="BB85" s="3" t="n">
        <v>29.1166031137035</v>
      </c>
      <c r="BC85" s="3" t="n">
        <v>28.433594372929</v>
      </c>
      <c r="BD85" s="168" t="n">
        <v>18.2081720583333</v>
      </c>
      <c r="BE85" s="168" t="n">
        <v>18.24697855</v>
      </c>
      <c r="BF85" s="3" t="n">
        <v>18.330891225</v>
      </c>
      <c r="BG85" s="168" t="n">
        <v>3.87140525605893</v>
      </c>
      <c r="BH85" s="168" t="n">
        <v>3.881632865122</v>
      </c>
      <c r="BI85" s="168" t="n">
        <v>3.59296406252188</v>
      </c>
      <c r="BJ85" s="3" t="n">
        <v>70.4912058300496</v>
      </c>
      <c r="BK85" s="3" t="n">
        <v>70.8280716323279</v>
      </c>
      <c r="BL85" s="3" t="n">
        <v>65.8622300603094</v>
      </c>
      <c r="BM85" s="3" t="n">
        <v>193.346166666666</v>
      </c>
      <c r="BN85" s="3" t="n">
        <v>0</v>
      </c>
      <c r="BO85" s="3" t="n">
        <v>188.813135416666</v>
      </c>
      <c r="BP85" s="3" t="n">
        <v>0</v>
      </c>
      <c r="BQ85" s="3" t="n">
        <v>384.302302083333</v>
      </c>
      <c r="BR85" s="3" t="n">
        <v>395.862635416666</v>
      </c>
      <c r="BS85" s="169"/>
      <c r="BT85" s="169"/>
      <c r="BU85" s="169"/>
      <c r="BV85" s="169"/>
      <c r="BW85" s="169"/>
      <c r="BX85" s="169"/>
      <c r="BY85" s="169"/>
    </row>
    <row r="86" customFormat="false" ht="12.75" hidden="true" customHeight="false" outlineLevel="0" collapsed="false">
      <c r="A86" s="3" t="n">
        <v>4</v>
      </c>
      <c r="B86" s="3" t="n">
        <v>4.3</v>
      </c>
      <c r="C86" s="3" t="s">
        <v>274</v>
      </c>
      <c r="D86" s="3" t="s">
        <v>246</v>
      </c>
      <c r="E86" s="3" t="n">
        <v>1613.02550333333</v>
      </c>
      <c r="F86" s="3" t="n">
        <v>1523.15769333333</v>
      </c>
      <c r="G86" s="3" t="n">
        <v>1456.72825400274</v>
      </c>
      <c r="H86" s="3" t="n">
        <v>89.86781</v>
      </c>
      <c r="I86" s="3" t="n">
        <v>66.4294393305916</v>
      </c>
      <c r="J86" s="3" t="n">
        <v>156.297249330591</v>
      </c>
      <c r="K86" s="3" t="n">
        <v>283.697394166666</v>
      </c>
      <c r="L86" s="168" t="n">
        <v>-29.9999999999999</v>
      </c>
      <c r="M86" s="3" t="n">
        <v>492.397195</v>
      </c>
      <c r="N86" s="3" t="n">
        <v>0</v>
      </c>
      <c r="O86" s="3" t="n">
        <v>284.656115</v>
      </c>
      <c r="P86" s="3" t="n">
        <v>-150</v>
      </c>
      <c r="Q86" s="3" t="n">
        <v>492.663444166666</v>
      </c>
      <c r="R86" s="168" t="n">
        <v>-120.169749896297</v>
      </c>
      <c r="S86" s="3" t="n">
        <v>283.851423333333</v>
      </c>
      <c r="T86" s="3" t="n">
        <v>90</v>
      </c>
      <c r="U86" s="3" t="n">
        <v>491.039983333333</v>
      </c>
      <c r="V86" s="3" t="n">
        <v>119.865253967585</v>
      </c>
      <c r="W86" s="168" t="n">
        <v>1.694016025</v>
      </c>
      <c r="X86" s="3" t="n">
        <v>-45.0314790295955</v>
      </c>
      <c r="Y86" s="168" t="n">
        <v>1.93999639166666</v>
      </c>
      <c r="Z86" s="3" t="n">
        <v>-147.615787349527</v>
      </c>
      <c r="AA86" s="3" t="n">
        <v>2.26018495</v>
      </c>
      <c r="AB86" s="3" t="n">
        <v>79.7117374619536</v>
      </c>
      <c r="AC86" s="3" t="n">
        <v>451.477886666666</v>
      </c>
      <c r="AD86" s="3" t="n">
        <v>537.6432</v>
      </c>
      <c r="AE86" s="3" t="n">
        <v>623.904416666666</v>
      </c>
      <c r="AF86" s="3" t="n">
        <v>122.601819166666</v>
      </c>
      <c r="AG86" s="168" t="n">
        <v>-120.022785028</v>
      </c>
      <c r="AH86" s="3" t="n">
        <v>121.444933333333</v>
      </c>
      <c r="AI86" s="3" t="n">
        <v>-0.39532540595907</v>
      </c>
      <c r="AJ86" s="3" t="n">
        <v>120.519206666666</v>
      </c>
      <c r="AK86" s="168" t="n">
        <v>119.48340129566</v>
      </c>
      <c r="AL86" s="168" t="n">
        <v>3.0882243</v>
      </c>
      <c r="AM86" s="3" t="n">
        <v>-152.918833035853</v>
      </c>
      <c r="AN86" s="3" t="n">
        <v>4.49927929166666</v>
      </c>
      <c r="AO86" s="3" t="n">
        <v>-23.0408240854589</v>
      </c>
      <c r="AP86" s="3" t="n">
        <v>6.03157818333333</v>
      </c>
      <c r="AQ86" s="3" t="n">
        <v>104.124183877119</v>
      </c>
      <c r="AR86" s="3" t="n">
        <v>317.91252</v>
      </c>
      <c r="AS86" s="3" t="n">
        <v>504.28862</v>
      </c>
      <c r="AT86" s="3" t="n">
        <v>700.956553333333</v>
      </c>
      <c r="AU86" s="3" t="n">
        <v>24.0926366083333</v>
      </c>
      <c r="AV86" s="3" t="n">
        <v>23.991837275</v>
      </c>
      <c r="AW86" s="3" t="n">
        <v>24.013103725</v>
      </c>
      <c r="AX86" s="3" t="n">
        <v>1.21661630814333</v>
      </c>
      <c r="AY86" s="3" t="n">
        <v>1.2132118992469</v>
      </c>
      <c r="AZ86" s="3" t="n">
        <v>1.18471511816595</v>
      </c>
      <c r="BA86" s="3" t="n">
        <v>29.3114946009025</v>
      </c>
      <c r="BB86" s="3" t="n">
        <v>29.1071824940306</v>
      </c>
      <c r="BC86" s="3" t="n">
        <v>28.4486870205101</v>
      </c>
      <c r="BD86" s="3" t="n">
        <v>18.2044404833333</v>
      </c>
      <c r="BE86" s="3" t="n">
        <v>18.2475012416666</v>
      </c>
      <c r="BF86" s="3" t="n">
        <v>18.3341233416666</v>
      </c>
      <c r="BG86" s="3" t="n">
        <v>3.86851984011721</v>
      </c>
      <c r="BH86" s="3" t="n">
        <v>3.88279457713571</v>
      </c>
      <c r="BI86" s="3" t="n">
        <v>3.57973512949925</v>
      </c>
      <c r="BJ86" s="3" t="n">
        <v>70.4242390890327</v>
      </c>
      <c r="BK86" s="3" t="n">
        <v>70.8512988090647</v>
      </c>
      <c r="BL86" s="3" t="n">
        <v>65.6310290725341</v>
      </c>
      <c r="BM86" s="3" t="n">
        <v>193.384604166666</v>
      </c>
      <c r="BN86" s="3" t="n">
        <v>0</v>
      </c>
      <c r="BO86" s="3" t="n">
        <v>188.818302083333</v>
      </c>
      <c r="BP86" s="3" t="n">
        <v>0</v>
      </c>
      <c r="BQ86" s="3" t="n">
        <v>384.314510416666</v>
      </c>
      <c r="BR86" s="3" t="n">
        <v>396.43690625</v>
      </c>
      <c r="BS86" s="169"/>
      <c r="BT86" s="169"/>
      <c r="BU86" s="169"/>
      <c r="BV86" s="169"/>
      <c r="BW86" s="169"/>
      <c r="BX86" s="169"/>
      <c r="BY86" s="169"/>
    </row>
    <row r="87" customFormat="false" ht="12.75" hidden="true" customHeight="false" outlineLevel="0" collapsed="false">
      <c r="A87" s="3" t="n">
        <v>4</v>
      </c>
      <c r="B87" s="3" t="n">
        <v>4.4</v>
      </c>
      <c r="C87" s="3" t="s">
        <v>275</v>
      </c>
      <c r="D87" s="3" t="s">
        <v>246</v>
      </c>
      <c r="E87" s="3" t="n">
        <v>1409.66082583333</v>
      </c>
      <c r="F87" s="3" t="n">
        <v>1325.1819525</v>
      </c>
      <c r="G87" s="3" t="n">
        <v>1257.82522103369</v>
      </c>
      <c r="H87" s="3" t="n">
        <v>84.4788733333333</v>
      </c>
      <c r="I87" s="3" t="n">
        <v>67.3567314663084</v>
      </c>
      <c r="J87" s="3" t="n">
        <v>151.835604799641</v>
      </c>
      <c r="K87" s="3" t="n">
        <v>283.339395833333</v>
      </c>
      <c r="L87" s="3" t="n">
        <v>-29.9999999999999</v>
      </c>
      <c r="M87" s="3" t="n">
        <v>491.441259166666</v>
      </c>
      <c r="N87" s="3" t="n">
        <v>0</v>
      </c>
      <c r="O87" s="3" t="n">
        <v>284.132560833333</v>
      </c>
      <c r="P87" s="3" t="n">
        <v>-150</v>
      </c>
      <c r="Q87" s="3" t="n">
        <v>492.1407175</v>
      </c>
      <c r="R87" s="3" t="n">
        <v>-120.149843637407</v>
      </c>
      <c r="S87" s="3" t="n">
        <v>283.7438</v>
      </c>
      <c r="T87" s="3" t="n">
        <v>90</v>
      </c>
      <c r="U87" s="3" t="n">
        <v>490.805125833333</v>
      </c>
      <c r="V87" s="3" t="n">
        <v>119.836517036157</v>
      </c>
      <c r="W87" s="3" t="n">
        <v>2.31247064166666</v>
      </c>
      <c r="X87" s="3" t="n">
        <v>-29.2468505295009</v>
      </c>
      <c r="Y87" s="3" t="n">
        <v>1.86312365</v>
      </c>
      <c r="Z87" s="3" t="n">
        <v>-178.956109758068</v>
      </c>
      <c r="AA87" s="3" t="n">
        <v>1.19262489166666</v>
      </c>
      <c r="AB87" s="3" t="n">
        <v>91.6981250928396</v>
      </c>
      <c r="AC87" s="3" t="n">
        <v>642.168416666666</v>
      </c>
      <c r="AD87" s="3" t="n">
        <v>456.112095</v>
      </c>
      <c r="AE87" s="3" t="n">
        <v>311.380314166666</v>
      </c>
      <c r="AF87" s="3" t="n">
        <v>120.5964375</v>
      </c>
      <c r="AG87" s="3" t="n">
        <v>-120.352250131465</v>
      </c>
      <c r="AH87" s="3" t="n">
        <v>121.345849166666</v>
      </c>
      <c r="AI87" s="3" t="n">
        <v>-0.324960602435467</v>
      </c>
      <c r="AJ87" s="3" t="n">
        <v>123.387704166666</v>
      </c>
      <c r="AK87" s="3" t="n">
        <v>119.965538615254</v>
      </c>
      <c r="AL87" s="3" t="n">
        <v>6.14029979166666</v>
      </c>
      <c r="AM87" s="3" t="n">
        <v>-138.24478587749</v>
      </c>
      <c r="AN87" s="3" t="n">
        <v>4.50017448333333</v>
      </c>
      <c r="AO87" s="3" t="n">
        <v>-22.9410584629635</v>
      </c>
      <c r="AP87" s="3" t="n">
        <v>1.576621275</v>
      </c>
      <c r="AQ87" s="3" t="n">
        <v>66.7220865977812</v>
      </c>
      <c r="AR87" s="3" t="n">
        <v>704.683491666666</v>
      </c>
      <c r="AS87" s="3" t="n">
        <v>504.085198333333</v>
      </c>
      <c r="AT87" s="3" t="n">
        <v>116.4132625</v>
      </c>
      <c r="AU87" s="3" t="n">
        <v>24.093825875</v>
      </c>
      <c r="AV87" s="3" t="n">
        <v>23.9913760416666</v>
      </c>
      <c r="AW87" s="3" t="n">
        <v>24.0104007166666</v>
      </c>
      <c r="AX87" s="3" t="n">
        <v>1.21667890061136</v>
      </c>
      <c r="AY87" s="3" t="n">
        <v>1.21395936400688</v>
      </c>
      <c r="AZ87" s="3" t="n">
        <v>1.18425245891905</v>
      </c>
      <c r="BA87" s="3" t="n">
        <v>29.3144496907393</v>
      </c>
      <c r="BB87" s="3" t="n">
        <v>29.1245556009209</v>
      </c>
      <c r="BC87" s="3" t="n">
        <v>28.4343761113303</v>
      </c>
      <c r="BD87" s="3" t="n">
        <v>18.2000742166666</v>
      </c>
      <c r="BE87" s="3" t="n">
        <v>18.2474322</v>
      </c>
      <c r="BF87" s="3" t="n">
        <v>18.331116425</v>
      </c>
      <c r="BG87" s="3" t="n">
        <v>3.87354107798902</v>
      </c>
      <c r="BH87" s="3" t="n">
        <v>3.88163829768072</v>
      </c>
      <c r="BI87" s="3" t="n">
        <v>3.60816848554307</v>
      </c>
      <c r="BJ87" s="3" t="n">
        <v>70.4987352805939</v>
      </c>
      <c r="BK87" s="3" t="n">
        <v>70.829931667213</v>
      </c>
      <c r="BL87" s="3" t="n">
        <v>66.1417560162272</v>
      </c>
      <c r="BM87" s="3" t="n">
        <v>193.319885416666</v>
      </c>
      <c r="BN87" s="3" t="n">
        <v>0</v>
      </c>
      <c r="BO87" s="3" t="n">
        <v>0</v>
      </c>
      <c r="BP87" s="3" t="n">
        <v>386.062489583333</v>
      </c>
      <c r="BQ87" s="3" t="n">
        <v>384.099041666666</v>
      </c>
      <c r="BR87" s="3" t="n">
        <v>0</v>
      </c>
      <c r="BS87" s="169"/>
      <c r="BT87" s="169"/>
      <c r="BU87" s="169"/>
      <c r="BV87" s="169"/>
      <c r="BW87" s="169"/>
      <c r="BX87" s="169"/>
      <c r="BY87" s="169"/>
    </row>
    <row r="88" customFormat="false" ht="12.75" hidden="true" customHeight="false" outlineLevel="0" collapsed="false">
      <c r="A88" s="3" t="n">
        <v>4</v>
      </c>
      <c r="B88" s="3" t="n">
        <v>4.4</v>
      </c>
      <c r="C88" s="3" t="s">
        <v>276</v>
      </c>
      <c r="D88" s="3" t="s">
        <v>246</v>
      </c>
      <c r="E88" s="3" t="n">
        <v>1405.61468583333</v>
      </c>
      <c r="F88" s="3" t="n">
        <v>1321.12562583333</v>
      </c>
      <c r="G88" s="3" t="n">
        <v>1253.78459843526</v>
      </c>
      <c r="H88" s="3" t="n">
        <v>84.4890599999999</v>
      </c>
      <c r="I88" s="3" t="n">
        <v>67.3410273980681</v>
      </c>
      <c r="J88" s="3" t="n">
        <v>151.830087398068</v>
      </c>
      <c r="K88" s="3" t="n">
        <v>283.334209166666</v>
      </c>
      <c r="L88" s="3" t="n">
        <v>-29.9999999999999</v>
      </c>
      <c r="M88" s="3" t="n">
        <v>491.772113333333</v>
      </c>
      <c r="N88" s="3" t="n">
        <v>0</v>
      </c>
      <c r="O88" s="3" t="n">
        <v>284.4237525</v>
      </c>
      <c r="P88" s="3" t="n">
        <v>-150</v>
      </c>
      <c r="Q88" s="3" t="n">
        <v>492.479890833333</v>
      </c>
      <c r="R88" s="3" t="n">
        <v>-120.187002876409</v>
      </c>
      <c r="S88" s="3" t="n">
        <v>283.743700833333</v>
      </c>
      <c r="T88" s="3" t="n">
        <v>90</v>
      </c>
      <c r="U88" s="3" t="n">
        <v>490.6303325</v>
      </c>
      <c r="V88" s="3" t="n">
        <v>119.822201093896</v>
      </c>
      <c r="W88" s="3" t="n">
        <v>2.30619015833333</v>
      </c>
      <c r="X88" s="3" t="n">
        <v>-29.3551264759866</v>
      </c>
      <c r="Y88" s="3" t="n">
        <v>1.85658765</v>
      </c>
      <c r="Z88" s="3" t="n">
        <v>-179.037066796235</v>
      </c>
      <c r="AA88" s="3" t="n">
        <v>1.18926083333333</v>
      </c>
      <c r="AB88" s="3" t="n">
        <v>91.6902372220952</v>
      </c>
      <c r="AC88" s="3" t="n">
        <v>640.440215</v>
      </c>
      <c r="AD88" s="3" t="n">
        <v>454.653619166666</v>
      </c>
      <c r="AE88" s="3" t="n">
        <v>310.520851666666</v>
      </c>
      <c r="AF88" s="3" t="n">
        <v>120.669600833333</v>
      </c>
      <c r="AG88" s="3" t="n">
        <v>-120.333115465921</v>
      </c>
      <c r="AH88" s="3" t="n">
        <v>121.297991666666</v>
      </c>
      <c r="AI88" s="3" t="n">
        <v>-0.324304731065737</v>
      </c>
      <c r="AJ88" s="3" t="n">
        <v>123.48084</v>
      </c>
      <c r="AK88" s="3" t="n">
        <v>119.941345675067</v>
      </c>
      <c r="AL88" s="3" t="n">
        <v>6.11492798333333</v>
      </c>
      <c r="AM88" s="3" t="n">
        <v>-138.278415142507</v>
      </c>
      <c r="AN88" s="3" t="n">
        <v>4.49699775</v>
      </c>
      <c r="AO88" s="3" t="n">
        <v>-22.9486273790488</v>
      </c>
      <c r="AP88" s="3" t="n">
        <v>1.56294870833333</v>
      </c>
      <c r="AQ88" s="3" t="n">
        <v>66.751926716933</v>
      </c>
      <c r="AR88" s="3" t="n">
        <v>701.98844</v>
      </c>
      <c r="AS88" s="3" t="n">
        <v>503.500664166666</v>
      </c>
      <c r="AT88" s="3" t="n">
        <v>115.636521666666</v>
      </c>
      <c r="AU88" s="3" t="n">
        <v>24.0954692666666</v>
      </c>
      <c r="AV88" s="3" t="n">
        <v>23.99129375</v>
      </c>
      <c r="AW88" s="3" t="n">
        <v>24.010107425</v>
      </c>
      <c r="AX88" s="3" t="n">
        <v>1.21714969300094</v>
      </c>
      <c r="AY88" s="3" t="n">
        <v>1.21414971587529</v>
      </c>
      <c r="AZ88" s="3" t="n">
        <v>1.18498166696498</v>
      </c>
      <c r="BA88" s="3" t="n">
        <v>29.3277931902505</v>
      </c>
      <c r="BB88" s="3" t="n">
        <v>29.129022498013</v>
      </c>
      <c r="BC88" s="3" t="n">
        <v>28.4515371205862</v>
      </c>
      <c r="BD88" s="3" t="n">
        <v>18.2018863666666</v>
      </c>
      <c r="BE88" s="3" t="n">
        <v>18.247699625</v>
      </c>
      <c r="BF88" s="3" t="n">
        <v>18.3356422083333</v>
      </c>
      <c r="BG88" s="3" t="n">
        <v>3.87017060748844</v>
      </c>
      <c r="BH88" s="3" t="n">
        <v>3.88017193459389</v>
      </c>
      <c r="BI88" s="3" t="n">
        <v>3.57023024908323</v>
      </c>
      <c r="BJ88" s="3" t="n">
        <v>70.4444057903291</v>
      </c>
      <c r="BK88" s="3" t="n">
        <v>70.804211903806</v>
      </c>
      <c r="BL88" s="3" t="n">
        <v>65.4624612656134</v>
      </c>
      <c r="BM88" s="3" t="n">
        <v>193.048510416666</v>
      </c>
      <c r="BN88" s="3" t="n">
        <v>0</v>
      </c>
      <c r="BO88" s="3" t="n">
        <v>0</v>
      </c>
      <c r="BP88" s="3" t="n">
        <v>383.564854166666</v>
      </c>
      <c r="BQ88" s="3" t="n">
        <v>383.551802083333</v>
      </c>
      <c r="BR88" s="3" t="n">
        <v>0</v>
      </c>
      <c r="BS88" s="169"/>
      <c r="BT88" s="169"/>
      <c r="BU88" s="169"/>
      <c r="BV88" s="169"/>
      <c r="BW88" s="169"/>
      <c r="BX88" s="169"/>
      <c r="BY88" s="169"/>
    </row>
    <row r="89" customFormat="false" ht="12.75" hidden="true" customHeight="false" outlineLevel="0" collapsed="false">
      <c r="A89" s="3" t="n">
        <v>4</v>
      </c>
      <c r="B89" s="3" t="n">
        <v>4.4</v>
      </c>
      <c r="C89" s="3" t="s">
        <v>277</v>
      </c>
      <c r="D89" s="3" t="s">
        <v>246</v>
      </c>
      <c r="E89" s="3" t="n">
        <v>1405.82549833333</v>
      </c>
      <c r="F89" s="3" t="n">
        <v>1321.04395499999</v>
      </c>
      <c r="G89" s="3" t="n">
        <v>1253.62835740126</v>
      </c>
      <c r="H89" s="3" t="n">
        <v>84.7815433333334</v>
      </c>
      <c r="I89" s="3" t="n">
        <v>67.4155975987341</v>
      </c>
      <c r="J89" s="3" t="n">
        <v>152.197140932067</v>
      </c>
      <c r="K89" s="3" t="n">
        <v>284.095154166666</v>
      </c>
      <c r="L89" s="3" t="n">
        <v>-29.9999999999999</v>
      </c>
      <c r="M89" s="3" t="n">
        <v>493.200571666666</v>
      </c>
      <c r="N89" s="3" t="n">
        <v>0</v>
      </c>
      <c r="O89" s="3" t="n">
        <v>285.253243333333</v>
      </c>
      <c r="P89" s="3" t="n">
        <v>-150</v>
      </c>
      <c r="Q89" s="3" t="n">
        <v>493.814778333333</v>
      </c>
      <c r="R89" s="3" t="n">
        <v>-120.237894748342</v>
      </c>
      <c r="S89" s="3" t="n">
        <v>284.450579166666</v>
      </c>
      <c r="T89" s="3" t="n">
        <v>90</v>
      </c>
      <c r="U89" s="3" t="n">
        <v>491.8462175</v>
      </c>
      <c r="V89" s="3" t="n">
        <v>119.831737203356</v>
      </c>
      <c r="W89" s="3" t="n">
        <v>2.30013814166666</v>
      </c>
      <c r="X89" s="3" t="n">
        <v>-29.4803757600667</v>
      </c>
      <c r="Y89" s="3" t="n">
        <v>1.85477775</v>
      </c>
      <c r="Z89" s="3" t="n">
        <v>-179.208607031895</v>
      </c>
      <c r="AA89" s="3" t="n">
        <v>1.1856848</v>
      </c>
      <c r="AB89" s="3" t="n">
        <v>91.4550266273481</v>
      </c>
      <c r="AC89" s="3" t="n">
        <v>640.471385</v>
      </c>
      <c r="AD89" s="3" t="n">
        <v>454.931990833333</v>
      </c>
      <c r="AE89" s="3" t="n">
        <v>310.4221225</v>
      </c>
      <c r="AF89" s="3" t="n">
        <v>121.0208225</v>
      </c>
      <c r="AG89" s="3" t="n">
        <v>-120.338938257888</v>
      </c>
      <c r="AH89" s="3" t="n">
        <v>121.60644</v>
      </c>
      <c r="AI89" s="3" t="n">
        <v>-0.322824716496967</v>
      </c>
      <c r="AJ89" s="3" t="n">
        <v>123.813860833333</v>
      </c>
      <c r="AK89" s="3" t="n">
        <v>119.8891468653</v>
      </c>
      <c r="AL89" s="3" t="n">
        <v>6.09821670833333</v>
      </c>
      <c r="AM89" s="3" t="n">
        <v>-138.352026417268</v>
      </c>
      <c r="AN89" s="3" t="n">
        <v>4.48504954166666</v>
      </c>
      <c r="AO89" s="3" t="n">
        <v>-23.0138002130562</v>
      </c>
      <c r="AP89" s="3" t="n">
        <v>1.56359871666666</v>
      </c>
      <c r="AQ89" s="3" t="n">
        <v>66.7048588850094</v>
      </c>
      <c r="AR89" s="3" t="n">
        <v>701.838094166666</v>
      </c>
      <c r="AS89" s="3" t="n">
        <v>503.195400833333</v>
      </c>
      <c r="AT89" s="3" t="n">
        <v>116.01046</v>
      </c>
      <c r="AU89" s="3" t="n">
        <v>24.098117275</v>
      </c>
      <c r="AV89" s="3" t="n">
        <v>23.99103375</v>
      </c>
      <c r="AW89" s="3" t="n">
        <v>24.009853225</v>
      </c>
      <c r="AX89" s="3" t="n">
        <v>1.21732714400745</v>
      </c>
      <c r="AY89" s="3" t="n">
        <v>1.2141061729671</v>
      </c>
      <c r="AZ89" s="3" t="n">
        <v>1.1846275257364</v>
      </c>
      <c r="BA89" s="3" t="n">
        <v>29.3352922813653</v>
      </c>
      <c r="BB89" s="3" t="n">
        <v>29.1276621743657</v>
      </c>
      <c r="BC89" s="3" t="n">
        <v>28.4427330061941</v>
      </c>
      <c r="BD89" s="3" t="n">
        <v>18.2050271666666</v>
      </c>
      <c r="BE89" s="3" t="n">
        <v>18.2477162333333</v>
      </c>
      <c r="BF89" s="3" t="n">
        <v>18.3340136333333</v>
      </c>
      <c r="BG89" s="3" t="n">
        <v>3.87252511107732</v>
      </c>
      <c r="BH89" s="3" t="n">
        <v>3.88013126244299</v>
      </c>
      <c r="BI89" s="3" t="n">
        <v>3.58894976331902</v>
      </c>
      <c r="BJ89" s="3" t="n">
        <v>70.4994240403905</v>
      </c>
      <c r="BK89" s="3" t="n">
        <v>70.8035342181781</v>
      </c>
      <c r="BL89" s="3" t="n">
        <v>65.7996595974385</v>
      </c>
      <c r="BM89" s="3" t="n">
        <v>192.95634375</v>
      </c>
      <c r="BN89" s="3" t="n">
        <v>0</v>
      </c>
      <c r="BO89" s="3" t="n">
        <v>0</v>
      </c>
      <c r="BP89" s="3" t="n">
        <v>383.459145833333</v>
      </c>
      <c r="BQ89" s="3" t="n">
        <v>383.2045625</v>
      </c>
      <c r="BR89" s="3" t="n">
        <v>0</v>
      </c>
      <c r="BS89" s="169"/>
      <c r="BT89" s="169"/>
      <c r="BU89" s="169"/>
      <c r="BV89" s="169"/>
      <c r="BW89" s="169"/>
      <c r="BX89" s="169"/>
      <c r="BY89" s="169"/>
    </row>
    <row r="90" customFormat="false" ht="12.75" hidden="false" customHeight="false" outlineLevel="0" collapsed="false">
      <c r="A90" s="3" t="n">
        <v>3</v>
      </c>
      <c r="B90" s="3" t="n">
        <v>3.1</v>
      </c>
      <c r="C90" s="3" t="s">
        <v>244</v>
      </c>
      <c r="D90" s="3" t="s">
        <v>246</v>
      </c>
      <c r="E90" s="3" t="n">
        <v>56.7769698055555</v>
      </c>
      <c r="F90" s="3" t="n">
        <v>5.29282748055555</v>
      </c>
      <c r="G90" s="3" t="n">
        <v>2.83257688222247</v>
      </c>
      <c r="H90" s="168" t="n">
        <v>51.484142325</v>
      </c>
      <c r="I90" s="3" t="n">
        <v>2.46025059833307</v>
      </c>
      <c r="J90" s="3" t="n">
        <v>53.944392923333</v>
      </c>
      <c r="K90" s="3" t="n">
        <v>281.804288333333</v>
      </c>
      <c r="L90" s="168" t="n">
        <v>-29.9999999999999</v>
      </c>
      <c r="M90" s="3" t="n">
        <v>488.828098888888</v>
      </c>
      <c r="N90" s="3" t="n">
        <v>0</v>
      </c>
      <c r="O90" s="3" t="n">
        <v>282.359747777777</v>
      </c>
      <c r="P90" s="3" t="n">
        <v>-150</v>
      </c>
      <c r="Q90" s="3" t="n">
        <v>488.566606944444</v>
      </c>
      <c r="R90" s="168" t="n">
        <v>-120.133443948599</v>
      </c>
      <c r="S90" s="3" t="n">
        <v>281.653098888888</v>
      </c>
      <c r="T90" s="3" t="n">
        <v>90</v>
      </c>
      <c r="U90" s="3" t="n">
        <v>487.635006111111</v>
      </c>
      <c r="V90" s="3" t="n">
        <v>119.955223716617</v>
      </c>
      <c r="W90" s="168" t="n">
        <v>0.350301399722222</v>
      </c>
      <c r="X90" s="3" t="n">
        <v>-105.303400110394</v>
      </c>
      <c r="Y90" s="168" t="n">
        <v>0.390746969166666</v>
      </c>
      <c r="Z90" s="3" t="n">
        <v>130.822478936069</v>
      </c>
      <c r="AA90" s="168" t="n">
        <v>0.350632616666666</v>
      </c>
      <c r="AB90" s="3" t="n">
        <v>6.69421085241695</v>
      </c>
      <c r="AC90" s="3" t="n">
        <v>24.6712732777777</v>
      </c>
      <c r="AD90" s="3" t="n">
        <v>20.6416416388888</v>
      </c>
      <c r="AE90" s="3" t="n">
        <v>11.4640548888888</v>
      </c>
      <c r="AF90" s="3" t="n">
        <v>122.938048333333</v>
      </c>
      <c r="AG90" s="168" t="n">
        <v>0.0617629034088669</v>
      </c>
      <c r="AH90" s="3" t="n">
        <v>122.6806025</v>
      </c>
      <c r="AI90" s="3" t="n">
        <v>120.02073934704</v>
      </c>
      <c r="AJ90" s="3" t="n">
        <v>122.892648333333</v>
      </c>
      <c r="AK90" s="168" t="n">
        <v>-120.05796533449</v>
      </c>
      <c r="AL90" s="168" t="n">
        <v>0.060050294</v>
      </c>
      <c r="AM90" s="168" t="n">
        <v>-70.5141192158856</v>
      </c>
      <c r="AN90" s="168" t="n">
        <v>0.0552512663055555</v>
      </c>
      <c r="AO90" s="3" t="n">
        <v>42.0615597283069</v>
      </c>
      <c r="AP90" s="168" t="n">
        <v>0.047943855</v>
      </c>
      <c r="AQ90" s="168" t="n">
        <v>163.929654025488</v>
      </c>
      <c r="AR90" s="3" t="n">
        <v>2.45500444722222</v>
      </c>
      <c r="AS90" s="3" t="n">
        <v>1.41387977777777</v>
      </c>
      <c r="AT90" s="3" t="n">
        <v>1.42394325555555</v>
      </c>
      <c r="AU90" s="168" t="n">
        <v>24.2664243083333</v>
      </c>
      <c r="AV90" s="168" t="n">
        <v>24.2250326416666</v>
      </c>
      <c r="AW90" s="168" t="n">
        <v>24.2316143805555</v>
      </c>
      <c r="AX90" s="168" t="n">
        <v>0.0407835350057485</v>
      </c>
      <c r="AY90" s="168" t="n">
        <v>0.0217129231952406</v>
      </c>
      <c r="AZ90" s="168" t="n">
        <v>0.0415886329431288</v>
      </c>
      <c r="BA90" s="3" t="n">
        <v>0.989670550117062</v>
      </c>
      <c r="BB90" s="3" t="n">
        <v>0.525996209983509</v>
      </c>
      <c r="BC90" s="3" t="n">
        <v>1.00775971824673</v>
      </c>
      <c r="BD90" s="168" t="n">
        <v>18.9853352833333</v>
      </c>
      <c r="BE90" s="168" t="n">
        <v>18.595416625</v>
      </c>
      <c r="BF90" s="168" t="n">
        <v>18.69934705</v>
      </c>
      <c r="BG90" s="168" t="n">
        <v>0.00282566020999205</v>
      </c>
      <c r="BH90" s="168" t="n">
        <v>0.00366724125873537</v>
      </c>
      <c r="BI90" s="168" t="n">
        <v>0.0100169489824642</v>
      </c>
      <c r="BJ90" s="168" t="n">
        <v>0.0536461160188831</v>
      </c>
      <c r="BK90" s="168" t="n">
        <v>0.0681938766719675</v>
      </c>
      <c r="BL90" s="3" t="n">
        <v>0.187310411184318</v>
      </c>
      <c r="BM90" s="3" t="n">
        <v>0</v>
      </c>
      <c r="BN90" s="3" t="n">
        <v>0</v>
      </c>
      <c r="BO90" s="3" t="n">
        <v>0</v>
      </c>
      <c r="BP90" s="3" t="n">
        <v>0</v>
      </c>
      <c r="BQ90" s="3" t="n">
        <v>0</v>
      </c>
      <c r="BR90" s="3" t="n">
        <v>0</v>
      </c>
      <c r="BS90" s="169"/>
      <c r="BT90" s="169"/>
      <c r="BU90" s="169"/>
      <c r="BV90" s="169"/>
      <c r="BW90" s="169"/>
      <c r="BX90" s="169"/>
      <c r="BY90" s="169"/>
    </row>
    <row r="91" customFormat="false" ht="12.75" hidden="false" customHeight="false" outlineLevel="0" collapsed="false">
      <c r="A91" s="3" t="n">
        <v>3</v>
      </c>
      <c r="B91" s="3" t="n">
        <v>3.2</v>
      </c>
      <c r="C91" s="3" t="s">
        <v>244</v>
      </c>
      <c r="D91" s="3" t="s">
        <v>246</v>
      </c>
      <c r="E91" s="3" t="n">
        <v>415.304290833333</v>
      </c>
      <c r="F91" s="3" t="n">
        <v>357.634278055555</v>
      </c>
      <c r="G91" s="3" t="n">
        <v>297.591893073831</v>
      </c>
      <c r="H91" s="3" t="n">
        <v>57.6700127777777</v>
      </c>
      <c r="I91" s="3" t="n">
        <v>60.0423849817241</v>
      </c>
      <c r="J91" s="3" t="n">
        <v>117.712397759501</v>
      </c>
      <c r="K91" s="3" t="n">
        <v>283.574288333333</v>
      </c>
      <c r="L91" s="3" t="n">
        <v>-29.9999999999999</v>
      </c>
      <c r="M91" s="3" t="n">
        <v>491.736575555555</v>
      </c>
      <c r="N91" s="3" t="n">
        <v>0</v>
      </c>
      <c r="O91" s="3" t="n">
        <v>284.182234722222</v>
      </c>
      <c r="P91" s="3" t="n">
        <v>-150</v>
      </c>
      <c r="Q91" s="3" t="n">
        <v>492.128721388888</v>
      </c>
      <c r="R91" s="168" t="n">
        <v>-120.11049609529</v>
      </c>
      <c r="S91" s="3" t="n">
        <v>283.800959166666</v>
      </c>
      <c r="T91" s="3" t="n">
        <v>90</v>
      </c>
      <c r="U91" s="3" t="n">
        <v>491.103266111111</v>
      </c>
      <c r="V91" s="168" t="n">
        <v>119.906607658253</v>
      </c>
      <c r="W91" s="168" t="n">
        <v>0.742126801666666</v>
      </c>
      <c r="X91" s="168" t="n">
        <v>-63.9108146116075</v>
      </c>
      <c r="Y91" s="168" t="n">
        <v>0.7357644775</v>
      </c>
      <c r="Z91" s="168" t="n">
        <v>173.395759693021</v>
      </c>
      <c r="AA91" s="168" t="n">
        <v>0.683761476388888</v>
      </c>
      <c r="AB91" s="3" t="n">
        <v>51.7892074566964</v>
      </c>
      <c r="AC91" s="3" t="n">
        <v>143.838598888888</v>
      </c>
      <c r="AD91" s="3" t="n">
        <v>144.831240555555</v>
      </c>
      <c r="AE91" s="3" t="n">
        <v>126.634451388888</v>
      </c>
      <c r="AF91" s="168" t="n">
        <v>123.273792777777</v>
      </c>
      <c r="AG91" s="168" t="n">
        <v>-0.0668307711545802</v>
      </c>
      <c r="AH91" s="3" t="n">
        <v>123.152415555555</v>
      </c>
      <c r="AI91" s="168" t="n">
        <v>119.845693761609</v>
      </c>
      <c r="AJ91" s="3" t="n">
        <v>123.359383333333</v>
      </c>
      <c r="AK91" s="168" t="n">
        <v>-120.136648232018</v>
      </c>
      <c r="AL91" s="168" t="n">
        <v>1.91363139722222</v>
      </c>
      <c r="AM91" s="3" t="n">
        <v>-59.0497168424483</v>
      </c>
      <c r="AN91" s="168" t="n">
        <v>1.83746262777777</v>
      </c>
      <c r="AO91" s="3" t="n">
        <v>61.4124092478588</v>
      </c>
      <c r="AP91" s="168" t="n">
        <v>1.62294444722222</v>
      </c>
      <c r="AQ91" s="3" t="n">
        <v>-174.157840108274</v>
      </c>
      <c r="AR91" s="3" t="n">
        <v>121.556334166666</v>
      </c>
      <c r="AS91" s="3" t="n">
        <v>118.459935277777</v>
      </c>
      <c r="AT91" s="3" t="n">
        <v>117.618008611111</v>
      </c>
      <c r="AU91" s="168" t="n">
        <v>24.1660237527777</v>
      </c>
      <c r="AV91" s="168" t="n">
        <v>24.0985201694444</v>
      </c>
      <c r="AW91" s="168" t="n">
        <v>24.1327633999999</v>
      </c>
      <c r="AX91" s="168" t="n">
        <v>1.14237527889119</v>
      </c>
      <c r="AY91" s="168" t="n">
        <v>1.18054403036353</v>
      </c>
      <c r="AZ91" s="168" t="n">
        <v>1.1443169044732</v>
      </c>
      <c r="BA91" s="168" t="n">
        <v>27.6064588461497</v>
      </c>
      <c r="BB91" s="168" t="n">
        <v>28.4490730728101</v>
      </c>
      <c r="BC91" s="168" t="n">
        <v>27.6150130954887</v>
      </c>
      <c r="BD91" s="168" t="n">
        <v>18.2803133</v>
      </c>
      <c r="BE91" s="168" t="n">
        <v>18.1691883416666</v>
      </c>
      <c r="BF91" s="168" t="n">
        <v>18.2253655194444</v>
      </c>
      <c r="BG91" s="168" t="n">
        <v>3.97511503539432</v>
      </c>
      <c r="BH91" s="168" t="n">
        <v>3.90037690898371</v>
      </c>
      <c r="BI91" s="168" t="n">
        <v>3.86210934517736</v>
      </c>
      <c r="BJ91" s="168" t="n">
        <v>72.6663504317215</v>
      </c>
      <c r="BK91" s="168" t="n">
        <v>70.8666815112163</v>
      </c>
      <c r="BL91" s="3" t="n">
        <v>70.3883161164449</v>
      </c>
      <c r="BM91" s="3" t="n">
        <v>0</v>
      </c>
      <c r="BN91" s="3" t="n">
        <v>0</v>
      </c>
      <c r="BO91" s="3" t="n">
        <v>0</v>
      </c>
      <c r="BP91" s="3" t="n">
        <v>0</v>
      </c>
      <c r="BQ91" s="3" t="n">
        <v>0</v>
      </c>
      <c r="BR91" s="3" t="n">
        <v>0</v>
      </c>
      <c r="BS91" s="169"/>
      <c r="BT91" s="169"/>
      <c r="BU91" s="169"/>
      <c r="BV91" s="169"/>
      <c r="BW91" s="169"/>
      <c r="BX91" s="169"/>
      <c r="BY91" s="169"/>
    </row>
    <row r="92" customFormat="false" ht="12.75" hidden="false" customHeight="false" outlineLevel="0" collapsed="false">
      <c r="A92" s="3" t="n">
        <v>3</v>
      </c>
      <c r="B92" s="3" t="n">
        <v>3.3</v>
      </c>
      <c r="C92" s="3" t="s">
        <v>244</v>
      </c>
      <c r="D92" s="3" t="s">
        <v>246</v>
      </c>
      <c r="E92" s="3" t="n">
        <v>985.304869722222</v>
      </c>
      <c r="F92" s="3" t="n">
        <v>919.327424722222</v>
      </c>
      <c r="G92" s="3" t="n">
        <v>853.106926086155</v>
      </c>
      <c r="H92" s="3" t="n">
        <v>65.9774449999999</v>
      </c>
      <c r="I92" s="3" t="n">
        <v>66.2204986360664</v>
      </c>
      <c r="J92" s="3" t="n">
        <v>132.197943636066</v>
      </c>
      <c r="K92" s="3" t="n">
        <v>282.19932</v>
      </c>
      <c r="L92" s="168" t="n">
        <v>-29.9999999999999</v>
      </c>
      <c r="M92" s="3" t="n">
        <v>489.864509722222</v>
      </c>
      <c r="N92" s="3" t="n">
        <v>0</v>
      </c>
      <c r="O92" s="3" t="n">
        <v>283.300145277777</v>
      </c>
      <c r="P92" s="3" t="n">
        <v>-150</v>
      </c>
      <c r="Q92" s="3" t="n">
        <v>490.437308055555</v>
      </c>
      <c r="R92" s="168" t="n">
        <v>-120.230042646348</v>
      </c>
      <c r="S92" s="3" t="n">
        <v>282.530760277777</v>
      </c>
      <c r="T92" s="3" t="n">
        <v>90</v>
      </c>
      <c r="U92" s="3" t="n">
        <v>488.567403611111</v>
      </c>
      <c r="V92" s="3" t="n">
        <v>119.824805661355</v>
      </c>
      <c r="W92" s="3" t="n">
        <v>1.29208833333333</v>
      </c>
      <c r="X92" s="3" t="n">
        <v>-43.8002536120774</v>
      </c>
      <c r="Y92" s="3" t="n">
        <v>1.30365743611111</v>
      </c>
      <c r="Z92" s="3" t="n">
        <v>-167.030101023513</v>
      </c>
      <c r="AA92" s="3" t="n">
        <v>1.20896520555555</v>
      </c>
      <c r="AB92" s="3" t="n">
        <v>73.1446785652565</v>
      </c>
      <c r="AC92" s="3" t="n">
        <v>334.870230555555</v>
      </c>
      <c r="AD92" s="3" t="n">
        <v>339.228437222222</v>
      </c>
      <c r="AE92" s="3" t="n">
        <v>311.206201944444</v>
      </c>
      <c r="AF92" s="3" t="n">
        <v>121.987906388888</v>
      </c>
      <c r="AG92" s="168" t="n">
        <v>-120.012956843554</v>
      </c>
      <c r="AH92" s="3" t="n">
        <v>121.774061944444</v>
      </c>
      <c r="AI92" s="3" t="n">
        <v>-0.176813529616334</v>
      </c>
      <c r="AJ92" s="3" t="n">
        <v>122.028348888888</v>
      </c>
      <c r="AK92" s="168" t="n">
        <v>119.786105283889</v>
      </c>
      <c r="AL92" s="3" t="n">
        <v>3.11780957777777</v>
      </c>
      <c r="AM92" s="3" t="n">
        <v>-153.356916219166</v>
      </c>
      <c r="AN92" s="3" t="n">
        <v>2.96409102777777</v>
      </c>
      <c r="AO92" s="3" t="n">
        <v>-34.1724868264022</v>
      </c>
      <c r="AP92" s="3" t="n">
        <v>2.849813475</v>
      </c>
      <c r="AQ92" s="3" t="n">
        <v>90.1771900942266</v>
      </c>
      <c r="AR92" s="3" t="n">
        <v>317.726244444444</v>
      </c>
      <c r="AS92" s="3" t="n">
        <v>299.254741666666</v>
      </c>
      <c r="AT92" s="3" t="n">
        <v>302.346438611111</v>
      </c>
      <c r="AU92" s="168" t="n">
        <v>24.1047546694444</v>
      </c>
      <c r="AV92" s="168" t="n">
        <v>24.0072354194444</v>
      </c>
      <c r="AW92" s="168" t="n">
        <v>24.0311120083333</v>
      </c>
      <c r="AX92" s="168" t="n">
        <v>1.19936522855505</v>
      </c>
      <c r="AY92" s="168" t="n">
        <v>1.20462599794373</v>
      </c>
      <c r="AZ92" s="168" t="n">
        <v>1.16883524033645</v>
      </c>
      <c r="BA92" s="3" t="n">
        <v>28.9103699168628</v>
      </c>
      <c r="BB92" s="3" t="n">
        <v>28.9197092425491</v>
      </c>
      <c r="BC92" s="3" t="n">
        <v>28.0883110020108</v>
      </c>
      <c r="BD92" s="168" t="n">
        <v>18.198794125</v>
      </c>
      <c r="BE92" s="168" t="n">
        <v>18.2434888777777</v>
      </c>
      <c r="BF92" s="3" t="n">
        <v>18.3022015833333</v>
      </c>
      <c r="BG92" s="168" t="n">
        <v>3.88392555087715</v>
      </c>
      <c r="BH92" s="168" t="n">
        <v>3.86841077430415</v>
      </c>
      <c r="BI92" s="3" t="n">
        <v>3.67701150614242</v>
      </c>
      <c r="BJ92" s="3" t="n">
        <v>70.6827298767007</v>
      </c>
      <c r="BK92" s="3" t="n">
        <v>70.5733068692884</v>
      </c>
      <c r="BL92" s="3" t="n">
        <v>67.2974019565215</v>
      </c>
      <c r="BM92" s="3" t="n">
        <v>193.10465162037</v>
      </c>
      <c r="BN92" s="3" t="n">
        <v>179.95771875</v>
      </c>
      <c r="BO92" s="3" t="n">
        <v>185.572726851851</v>
      </c>
      <c r="BP92" s="3" t="n">
        <v>0</v>
      </c>
      <c r="BQ92" s="3" t="n">
        <v>0</v>
      </c>
      <c r="BR92" s="3" t="n">
        <v>0</v>
      </c>
      <c r="BS92" s="169"/>
      <c r="BT92" s="169"/>
      <c r="BU92" s="169"/>
      <c r="BV92" s="169"/>
      <c r="BW92" s="169"/>
      <c r="BX92" s="169"/>
      <c r="BY92" s="169"/>
    </row>
    <row r="93" customFormat="false" ht="12.75" hidden="false" customHeight="false" outlineLevel="0" collapsed="false">
      <c r="A93" s="3" t="n">
        <v>3</v>
      </c>
      <c r="B93" s="3" t="n">
        <v>3.4</v>
      </c>
      <c r="C93" s="3" t="s">
        <v>244</v>
      </c>
      <c r="D93" s="3" t="s">
        <v>246</v>
      </c>
      <c r="E93" s="3" t="n">
        <v>1613.16008</v>
      </c>
      <c r="F93" s="3" t="n">
        <v>1529.16287722222</v>
      </c>
      <c r="G93" s="3" t="n">
        <v>1462.19358163502</v>
      </c>
      <c r="H93" s="3" t="n">
        <v>83.9972027777777</v>
      </c>
      <c r="I93" s="3" t="n">
        <v>66.9692955871972</v>
      </c>
      <c r="J93" s="3" t="n">
        <v>150.966498364975</v>
      </c>
      <c r="K93" s="3" t="n">
        <v>281.739992777777</v>
      </c>
      <c r="L93" s="3" t="n">
        <v>-29.9999999999999</v>
      </c>
      <c r="M93" s="3" t="n">
        <v>489.226150555555</v>
      </c>
      <c r="N93" s="3" t="n">
        <v>0</v>
      </c>
      <c r="O93" s="3" t="n">
        <v>283.004916944444</v>
      </c>
      <c r="P93" s="3" t="n">
        <v>-150</v>
      </c>
      <c r="Q93" s="3" t="n">
        <v>489.896452222222</v>
      </c>
      <c r="R93" s="3" t="n">
        <v>-120.264548548576</v>
      </c>
      <c r="S93" s="3" t="n">
        <v>282.127975277777</v>
      </c>
      <c r="T93" s="3" t="n">
        <v>90</v>
      </c>
      <c r="U93" s="3" t="n">
        <v>487.741518055555</v>
      </c>
      <c r="V93" s="3" t="n">
        <v>119.798997269507</v>
      </c>
      <c r="W93" s="3" t="n">
        <v>1.96769797222222</v>
      </c>
      <c r="X93" s="3" t="n">
        <v>-34.9206160328218</v>
      </c>
      <c r="Y93" s="3" t="n">
        <v>1.98470834444444</v>
      </c>
      <c r="Z93" s="3" t="n">
        <v>-156.38574981904</v>
      </c>
      <c r="AA93" s="3" t="n">
        <v>1.91380455833333</v>
      </c>
      <c r="AB93" s="3" t="n">
        <v>83.6832352279503</v>
      </c>
      <c r="AC93" s="3" t="n">
        <v>539.071186111111</v>
      </c>
      <c r="AD93" s="3" t="n">
        <v>548.156806388888</v>
      </c>
      <c r="AE93" s="3" t="n">
        <v>525.9320875</v>
      </c>
      <c r="AF93" s="3" t="n">
        <v>121.036479166666</v>
      </c>
      <c r="AG93" s="3" t="n">
        <v>-120.169443577292</v>
      </c>
      <c r="AH93" s="3" t="n">
        <v>120.716356111111</v>
      </c>
      <c r="AI93" s="3" t="n">
        <v>-0.369498993461154</v>
      </c>
      <c r="AJ93" s="3" t="n">
        <v>120.982394722222</v>
      </c>
      <c r="AK93" s="3" t="n">
        <v>119.600578166221</v>
      </c>
      <c r="AL93" s="3" t="n">
        <v>4.58575706944444</v>
      </c>
      <c r="AM93" s="3" t="n">
        <v>-143.336939549018</v>
      </c>
      <c r="AN93" s="3" t="n">
        <v>4.52642282222222</v>
      </c>
      <c r="AO93" s="3" t="n">
        <v>-22.9470382163581</v>
      </c>
      <c r="AP93" s="3" t="n">
        <v>4.52092057222222</v>
      </c>
      <c r="AQ93" s="3" t="n">
        <v>99.716503240519</v>
      </c>
      <c r="AR93" s="3" t="n">
        <v>510.283605</v>
      </c>
      <c r="AS93" s="3" t="n">
        <v>504.535850277777</v>
      </c>
      <c r="AT93" s="3" t="n">
        <v>514.343421944444</v>
      </c>
      <c r="AU93" s="3" t="n">
        <v>24.0962240222222</v>
      </c>
      <c r="AV93" s="3" t="n">
        <v>23.9949524222222</v>
      </c>
      <c r="AW93" s="3" t="n">
        <v>24.0170197833333</v>
      </c>
      <c r="AX93" s="3" t="n">
        <v>1.21312779222588</v>
      </c>
      <c r="AY93" s="3" t="n">
        <v>1.20969223604885</v>
      </c>
      <c r="AZ93" s="3" t="n">
        <v>1.17293751714811</v>
      </c>
      <c r="BA93" s="3" t="n">
        <v>29.2317990928027</v>
      </c>
      <c r="BB93" s="3" t="n">
        <v>29.0265074352442</v>
      </c>
      <c r="BC93" s="3" t="n">
        <v>28.1704635760615</v>
      </c>
      <c r="BD93" s="3" t="n">
        <v>18.1931099944444</v>
      </c>
      <c r="BE93" s="3" t="n">
        <v>18.2466954416666</v>
      </c>
      <c r="BF93" s="3" t="n">
        <v>18.306484025</v>
      </c>
      <c r="BG93" s="3" t="n">
        <v>3.88435716824742</v>
      </c>
      <c r="BH93" s="3" t="n">
        <v>3.86304499982228</v>
      </c>
      <c r="BI93" s="3" t="n">
        <v>3.68480190400566</v>
      </c>
      <c r="BJ93" s="3" t="n">
        <v>70.6685371377104</v>
      </c>
      <c r="BK93" s="3" t="n">
        <v>70.4878061230885</v>
      </c>
      <c r="BL93" s="3" t="n">
        <v>67.4557529923396</v>
      </c>
      <c r="BM93" s="3" t="n">
        <v>0</v>
      </c>
      <c r="BN93" s="3" t="n">
        <v>0</v>
      </c>
      <c r="BO93" s="3" t="n">
        <v>0</v>
      </c>
      <c r="BP93" s="3" t="n">
        <v>384.697996527777</v>
      </c>
      <c r="BQ93" s="3" t="n">
        <v>384.843461805555</v>
      </c>
      <c r="BR93" s="3" t="n">
        <v>397.611256944444</v>
      </c>
      <c r="BS93" s="169"/>
      <c r="BT93" s="169"/>
      <c r="BU93" s="169"/>
      <c r="BV93" s="169"/>
      <c r="BW93" s="169"/>
      <c r="BX93" s="169"/>
      <c r="BY93" s="169"/>
    </row>
    <row r="94" customFormat="false" ht="12.75" hidden="false" customHeight="false" outlineLevel="0" collapsed="false">
      <c r="A94" s="3" t="n">
        <v>4</v>
      </c>
      <c r="B94" s="3" t="n">
        <v>4.1</v>
      </c>
      <c r="C94" s="3" t="s">
        <v>244</v>
      </c>
      <c r="D94" s="3" t="s">
        <v>246</v>
      </c>
      <c r="E94" s="3" t="n">
        <v>56.7943579444444</v>
      </c>
      <c r="F94" s="3" t="n">
        <v>5.27520398333333</v>
      </c>
      <c r="G94" s="3" t="n">
        <v>2.83305467517935</v>
      </c>
      <c r="H94" s="3" t="n">
        <v>51.5191539611111</v>
      </c>
      <c r="I94" s="3" t="n">
        <v>2.44214930815397</v>
      </c>
      <c r="J94" s="3" t="n">
        <v>53.961303269265</v>
      </c>
      <c r="K94" s="3" t="n">
        <v>281.903280555555</v>
      </c>
      <c r="L94" s="3" t="n">
        <v>-29.9999999999999</v>
      </c>
      <c r="M94" s="3" t="n">
        <v>489.022238333333</v>
      </c>
      <c r="N94" s="3" t="n">
        <v>0</v>
      </c>
      <c r="O94" s="3" t="n">
        <v>282.501424444444</v>
      </c>
      <c r="P94" s="3" t="n">
        <v>-150</v>
      </c>
      <c r="Q94" s="3" t="n">
        <v>488.840670555555</v>
      </c>
      <c r="R94" s="168" t="n">
        <v>-120.14279639977</v>
      </c>
      <c r="S94" s="3" t="n">
        <v>281.798293888888</v>
      </c>
      <c r="T94" s="3" t="n">
        <v>90</v>
      </c>
      <c r="U94" s="3" t="n">
        <v>487.835041944444</v>
      </c>
      <c r="V94" s="168" t="n">
        <v>119.948265377919</v>
      </c>
      <c r="W94" s="168" t="n">
        <v>0.351360565277777</v>
      </c>
      <c r="X94" s="168" t="n">
        <v>-105.322465717722</v>
      </c>
      <c r="Y94" s="168" t="n">
        <v>0.392095973333333</v>
      </c>
      <c r="Z94" s="168" t="n">
        <v>130.778222182193</v>
      </c>
      <c r="AA94" s="168" t="n">
        <v>0.351664866388888</v>
      </c>
      <c r="AB94" s="168" t="n">
        <v>6.64317219424028</v>
      </c>
      <c r="AC94" s="3" t="n">
        <v>24.7269221111111</v>
      </c>
      <c r="AD94" s="3" t="n">
        <v>20.6435136944444</v>
      </c>
      <c r="AE94" s="3" t="n">
        <v>11.4239221388888</v>
      </c>
      <c r="AF94" s="3" t="n">
        <v>122.986594444444</v>
      </c>
      <c r="AG94" s="168" t="n">
        <v>0.0620600281982651</v>
      </c>
      <c r="AH94" s="3" t="n">
        <v>122.730836944444</v>
      </c>
      <c r="AI94" s="168" t="n">
        <v>120.01079204113</v>
      </c>
      <c r="AJ94" s="3" t="n">
        <v>122.961533333333</v>
      </c>
      <c r="AK94" s="168" t="n">
        <v>-120.068552718475</v>
      </c>
      <c r="AL94" s="168" t="n">
        <v>0.0602427325555555</v>
      </c>
      <c r="AM94" s="168" t="n">
        <v>-70.6281367770624</v>
      </c>
      <c r="AN94" s="168" t="n">
        <v>0.0550394148333333</v>
      </c>
      <c r="AO94" s="168" t="n">
        <v>42.0522459707627</v>
      </c>
      <c r="AP94" s="168" t="n">
        <v>0.0475925435</v>
      </c>
      <c r="AQ94" s="168" t="n">
        <v>163.937754379486</v>
      </c>
      <c r="AR94" s="3" t="n">
        <v>2.44980927222222</v>
      </c>
      <c r="AS94" s="3" t="n">
        <v>1.40913606666666</v>
      </c>
      <c r="AT94" s="3" t="n">
        <v>1.41625864444444</v>
      </c>
      <c r="AU94" s="3" t="n">
        <v>24.2653374666666</v>
      </c>
      <c r="AV94" s="3" t="n">
        <v>24.2238054222222</v>
      </c>
      <c r="AW94" s="3" t="n">
        <v>24.2291867972222</v>
      </c>
      <c r="AX94" s="3" t="n">
        <v>0.0409187259033546</v>
      </c>
      <c r="AY94" s="3" t="n">
        <v>0.0217317969906739</v>
      </c>
      <c r="AZ94" s="3" t="n">
        <v>0.04156275894285</v>
      </c>
      <c r="BA94" s="3" t="n">
        <v>0.992906718999524</v>
      </c>
      <c r="BB94" s="3" t="n">
        <v>0.526426799023746</v>
      </c>
      <c r="BC94" s="3" t="n">
        <v>1.00703187018109</v>
      </c>
      <c r="BD94" s="3" t="n">
        <v>18.9857490944444</v>
      </c>
      <c r="BE94" s="3" t="n">
        <v>18.5947567777777</v>
      </c>
      <c r="BF94" s="3" t="n">
        <v>18.6991230277777</v>
      </c>
      <c r="BG94" s="3" t="n">
        <v>0.00273346222594614</v>
      </c>
      <c r="BH94" s="3" t="n">
        <v>0.00367603793915756</v>
      </c>
      <c r="BI94" s="168" t="n">
        <v>0.00997038316849256</v>
      </c>
      <c r="BJ94" s="3" t="n">
        <v>0.051896829241867</v>
      </c>
      <c r="BK94" s="3" t="n">
        <v>0.0683550322628741</v>
      </c>
      <c r="BL94" s="3" t="n">
        <v>0.18643742547025</v>
      </c>
      <c r="BM94" s="3" t="n">
        <v>0</v>
      </c>
      <c r="BN94" s="3" t="n">
        <v>0</v>
      </c>
      <c r="BO94" s="3" t="n">
        <v>0</v>
      </c>
      <c r="BP94" s="3" t="n">
        <v>0</v>
      </c>
      <c r="BQ94" s="3" t="n">
        <v>0</v>
      </c>
      <c r="BR94" s="3" t="n">
        <v>0</v>
      </c>
      <c r="BS94" s="169"/>
      <c r="BT94" s="169"/>
      <c r="BU94" s="169"/>
      <c r="BV94" s="169"/>
      <c r="BW94" s="169"/>
      <c r="BX94" s="169"/>
      <c r="BY94" s="169"/>
    </row>
    <row r="95" customFormat="false" ht="12.75" hidden="false" customHeight="false" outlineLevel="0" collapsed="false">
      <c r="A95" s="3" t="n">
        <v>4</v>
      </c>
      <c r="B95" s="3" t="n">
        <v>4.2</v>
      </c>
      <c r="C95" s="3" t="s">
        <v>244</v>
      </c>
      <c r="D95" s="3" t="s">
        <v>246</v>
      </c>
      <c r="E95" s="3" t="n">
        <v>1616.66359361111</v>
      </c>
      <c r="F95" s="3" t="n">
        <v>1522.80877972222</v>
      </c>
      <c r="G95" s="3" t="n">
        <v>1454.74715853485</v>
      </c>
      <c r="H95" s="3" t="n">
        <v>93.8548138888888</v>
      </c>
      <c r="I95" s="3" t="n">
        <v>68.0616211873674</v>
      </c>
      <c r="J95" s="3" t="n">
        <v>161.916435076256</v>
      </c>
      <c r="K95" s="3" t="n">
        <v>282.545193055555</v>
      </c>
      <c r="L95" s="168" t="n">
        <v>-29.9999999999999</v>
      </c>
      <c r="M95" s="3" t="n">
        <v>490.465580833333</v>
      </c>
      <c r="N95" s="3" t="n">
        <v>0</v>
      </c>
      <c r="O95" s="3" t="n">
        <v>283.659294722222</v>
      </c>
      <c r="P95" s="3" t="n">
        <v>-150</v>
      </c>
      <c r="Q95" s="3" t="n">
        <v>491.078385833333</v>
      </c>
      <c r="R95" s="168" t="n">
        <v>-120.219319184939</v>
      </c>
      <c r="S95" s="3" t="n">
        <v>282.899773333333</v>
      </c>
      <c r="T95" s="3" t="n">
        <v>90</v>
      </c>
      <c r="U95" s="3" t="n">
        <v>489.185786944444</v>
      </c>
      <c r="V95" s="3" t="n">
        <v>119.815862623354</v>
      </c>
      <c r="W95" s="168" t="n">
        <v>1.66474526944444</v>
      </c>
      <c r="X95" s="168" t="n">
        <v>-21.1892271212288</v>
      </c>
      <c r="Y95" s="168" t="n">
        <v>2.66731578611111</v>
      </c>
      <c r="Z95" s="168" t="n">
        <v>-154.679297521093</v>
      </c>
      <c r="AA95" s="168" t="n">
        <v>1.79504852222222</v>
      </c>
      <c r="AB95" s="168" t="n">
        <v>61.1199955822336</v>
      </c>
      <c r="AC95" s="3" t="n">
        <v>432.690022222222</v>
      </c>
      <c r="AD95" s="3" t="n">
        <v>746.779704166666</v>
      </c>
      <c r="AE95" s="3" t="n">
        <v>437.193867222222</v>
      </c>
      <c r="AF95" s="168" t="n">
        <v>120.413005833333</v>
      </c>
      <c r="AG95" s="168" t="n">
        <v>-120.256180695954</v>
      </c>
      <c r="AH95" s="3" t="n">
        <v>122.72667</v>
      </c>
      <c r="AI95" s="3" t="n">
        <v>-0.0646747309202927</v>
      </c>
      <c r="AJ95" s="168" t="n">
        <v>120.338999444444</v>
      </c>
      <c r="AK95" s="3" t="n">
        <v>119.462020628397</v>
      </c>
      <c r="AL95" s="168" t="n">
        <v>6.13033799444444</v>
      </c>
      <c r="AM95" s="168" t="n">
        <v>-138.199971664713</v>
      </c>
      <c r="AN95" s="168" t="n">
        <v>1.81353301666666</v>
      </c>
      <c r="AO95" s="168" t="n">
        <v>-57.2721818613896</v>
      </c>
      <c r="AP95" s="168" t="n">
        <v>6.04114525555555</v>
      </c>
      <c r="AQ95" s="168" t="n">
        <v>103.802649633021</v>
      </c>
      <c r="AR95" s="3" t="n">
        <v>702.265967777777</v>
      </c>
      <c r="AS95" s="3" t="n">
        <v>120.542485</v>
      </c>
      <c r="AT95" s="3" t="n">
        <v>700.000326944444</v>
      </c>
      <c r="AU95" s="3" t="n">
        <v>24.0944668888888</v>
      </c>
      <c r="AV95" s="3" t="n">
        <v>23.9924227</v>
      </c>
      <c r="AW95" s="3" t="n">
        <v>24.0143394055555</v>
      </c>
      <c r="AX95" s="3" t="n">
        <v>1.2149037287332</v>
      </c>
      <c r="AY95" s="3" t="n">
        <v>1.21117898365227</v>
      </c>
      <c r="AZ95" s="3" t="n">
        <v>1.18532367514526</v>
      </c>
      <c r="BA95" s="3" t="n">
        <v>29.2724573753837</v>
      </c>
      <c r="BB95" s="3" t="n">
        <v>29.0591180499591</v>
      </c>
      <c r="BC95" s="3" t="n">
        <v>28.4647649225266</v>
      </c>
      <c r="BD95" s="3" t="n">
        <v>18.2069431305555</v>
      </c>
      <c r="BE95" s="3" t="n">
        <v>18.2474485555555</v>
      </c>
      <c r="BF95" s="3" t="n">
        <v>18.3191920861111</v>
      </c>
      <c r="BG95" s="3" t="n">
        <v>3.87628202342419</v>
      </c>
      <c r="BH95" s="3" t="n">
        <v>3.8777971984647</v>
      </c>
      <c r="BI95" s="3" t="n">
        <v>3.60508976727686</v>
      </c>
      <c r="BJ95" s="3" t="n">
        <v>70.5752477149871</v>
      </c>
      <c r="BK95" s="3" t="n">
        <v>70.7599050637878</v>
      </c>
      <c r="BL95" s="3" t="n">
        <v>66.042304297099</v>
      </c>
      <c r="BM95" s="3" t="n">
        <v>192.85415625</v>
      </c>
      <c r="BN95" s="3" t="n">
        <v>0</v>
      </c>
      <c r="BO95" s="3" t="n">
        <v>189.227229166666</v>
      </c>
      <c r="BP95" s="3" t="n">
        <v>383.774104166666</v>
      </c>
      <c r="BQ95" s="3" t="n">
        <v>0</v>
      </c>
      <c r="BR95" s="3" t="n">
        <v>394.717871527777</v>
      </c>
      <c r="BS95" s="169"/>
      <c r="BT95" s="169"/>
      <c r="BU95" s="169"/>
      <c r="BV95" s="169"/>
      <c r="BW95" s="169"/>
      <c r="BX95" s="169"/>
      <c r="BY95" s="169"/>
    </row>
    <row r="96" customFormat="false" ht="12.75" hidden="false" customHeight="false" outlineLevel="0" collapsed="false">
      <c r="A96" s="3" t="n">
        <v>4</v>
      </c>
      <c r="B96" s="3" t="n">
        <v>4.3</v>
      </c>
      <c r="C96" s="3" t="s">
        <v>244</v>
      </c>
      <c r="D96" s="3" t="s">
        <v>246</v>
      </c>
      <c r="E96" s="3" t="n">
        <v>1612.94196277777</v>
      </c>
      <c r="F96" s="3" t="n">
        <v>1523.37076944444</v>
      </c>
      <c r="G96" s="3" t="n">
        <v>1456.91138552784</v>
      </c>
      <c r="H96" s="3" t="n">
        <v>89.5711933333333</v>
      </c>
      <c r="I96" s="3" t="n">
        <v>66.4593839165984</v>
      </c>
      <c r="J96" s="3" t="n">
        <v>156.030577249931</v>
      </c>
      <c r="K96" s="3" t="n">
        <v>283.502498333333</v>
      </c>
      <c r="L96" s="168" t="n">
        <v>-29.9999999999999</v>
      </c>
      <c r="M96" s="3" t="n">
        <v>492.001181666666</v>
      </c>
      <c r="N96" s="3" t="n">
        <v>0</v>
      </c>
      <c r="O96" s="3" t="n">
        <v>284.488760833333</v>
      </c>
      <c r="P96" s="3" t="n">
        <v>-150</v>
      </c>
      <c r="Q96" s="3" t="n">
        <v>492.5380875</v>
      </c>
      <c r="R96" s="168" t="n">
        <v>-120.174679224557</v>
      </c>
      <c r="S96" s="3" t="n">
        <v>283.813077222222</v>
      </c>
      <c r="T96" s="3" t="n">
        <v>90</v>
      </c>
      <c r="U96" s="3" t="n">
        <v>490.8674725</v>
      </c>
      <c r="V96" s="3" t="n">
        <v>119.851798504116</v>
      </c>
      <c r="W96" s="168" t="n">
        <v>1.69438114722222</v>
      </c>
      <c r="X96" s="3" t="n">
        <v>-44.993756758146</v>
      </c>
      <c r="Y96" s="168" t="n">
        <v>1.94044288611111</v>
      </c>
      <c r="Z96" s="3" t="n">
        <v>-147.592329726385</v>
      </c>
      <c r="AA96" s="168" t="n">
        <v>2.26076233055555</v>
      </c>
      <c r="AB96" s="3" t="n">
        <v>79.7507072471409</v>
      </c>
      <c r="AC96" s="3" t="n">
        <v>451.397722222222</v>
      </c>
      <c r="AD96" s="3" t="n">
        <v>537.490418888888</v>
      </c>
      <c r="AE96" s="3" t="n">
        <v>624.053821666666</v>
      </c>
      <c r="AF96" s="3" t="n">
        <v>122.501739444444</v>
      </c>
      <c r="AG96" s="168" t="n">
        <v>-120.013414084406</v>
      </c>
      <c r="AH96" s="3" t="n">
        <v>121.425230555555</v>
      </c>
      <c r="AI96" s="3" t="n">
        <v>-0.394756850080919</v>
      </c>
      <c r="AJ96" s="3" t="n">
        <v>120.511945833333</v>
      </c>
      <c r="AK96" s="168" t="n">
        <v>119.510689974252</v>
      </c>
      <c r="AL96" s="3" t="n">
        <v>3.08955000833333</v>
      </c>
      <c r="AM96" s="3" t="n">
        <v>-152.856955962228</v>
      </c>
      <c r="AN96" s="3" t="n">
        <v>4.50268328611111</v>
      </c>
      <c r="AO96" s="3" t="n">
        <v>-23.0199841558269</v>
      </c>
      <c r="AP96" s="3" t="n">
        <v>6.02959323333333</v>
      </c>
      <c r="AQ96" s="3" t="n">
        <v>104.165225973353</v>
      </c>
      <c r="AR96" s="3" t="n">
        <v>317.977438055555</v>
      </c>
      <c r="AS96" s="3" t="n">
        <v>504.6626875</v>
      </c>
      <c r="AT96" s="3" t="n">
        <v>700.730643888889</v>
      </c>
      <c r="AU96" s="3" t="n">
        <v>24.0927691055555</v>
      </c>
      <c r="AV96" s="3" t="n">
        <v>23.9921609333333</v>
      </c>
      <c r="AW96" s="3" t="n">
        <v>24.0134244194444</v>
      </c>
      <c r="AX96" s="3" t="n">
        <v>1.21563461272842</v>
      </c>
      <c r="AY96" s="3" t="n">
        <v>1.21327384044194</v>
      </c>
      <c r="AZ96" s="3" t="n">
        <v>1.18435014377328</v>
      </c>
      <c r="BA96" s="3" t="n">
        <v>29.2880039106994</v>
      </c>
      <c r="BB96" s="3" t="n">
        <v>29.109061256602</v>
      </c>
      <c r="BC96" s="3" t="n">
        <v>28.4403025651083</v>
      </c>
      <c r="BD96" s="3" t="n">
        <v>18.2068949583333</v>
      </c>
      <c r="BE96" s="3" t="n">
        <v>18.2471513916666</v>
      </c>
      <c r="BF96" s="3" t="n">
        <v>18.3332124388888</v>
      </c>
      <c r="BG96" s="3" t="n">
        <v>3.8733702997175</v>
      </c>
      <c r="BH96" s="3" t="n">
        <v>3.88208942933007</v>
      </c>
      <c r="BI96" s="3" t="n">
        <v>3.57189772210089</v>
      </c>
      <c r="BJ96" s="3" t="n">
        <v>70.5220494369545</v>
      </c>
      <c r="BK96" s="3" t="n">
        <v>70.8370736416452</v>
      </c>
      <c r="BL96" s="3" t="n">
        <v>65.4842245779474</v>
      </c>
      <c r="BM96" s="3" t="n">
        <v>193.349756944444</v>
      </c>
      <c r="BN96" s="3" t="n">
        <v>0</v>
      </c>
      <c r="BO96" s="3" t="n">
        <v>188.950756944444</v>
      </c>
      <c r="BP96" s="3" t="n">
        <v>0</v>
      </c>
      <c r="BQ96" s="3" t="n">
        <v>384.673736111111</v>
      </c>
      <c r="BR96" s="3" t="n">
        <v>396.256420138888</v>
      </c>
      <c r="BS96" s="169"/>
      <c r="BT96" s="169"/>
      <c r="BU96" s="169"/>
      <c r="BV96" s="169"/>
      <c r="BW96" s="169"/>
      <c r="BX96" s="169"/>
      <c r="BY96" s="169"/>
    </row>
    <row r="97" customFormat="false" ht="12.75" hidden="false" customHeight="false" outlineLevel="0" collapsed="false">
      <c r="A97" s="3" t="n">
        <v>4</v>
      </c>
      <c r="B97" s="3" t="n">
        <v>4.4</v>
      </c>
      <c r="C97" s="3" t="s">
        <v>244</v>
      </c>
      <c r="D97" s="3" t="s">
        <v>246</v>
      </c>
      <c r="E97" s="3" t="n">
        <v>1407.03367</v>
      </c>
      <c r="F97" s="3" t="n">
        <v>1322.45051111111</v>
      </c>
      <c r="G97" s="3" t="n">
        <v>1255.07939229007</v>
      </c>
      <c r="H97" s="3" t="n">
        <v>84.5831588888888</v>
      </c>
      <c r="I97" s="3" t="n">
        <v>67.3711188210369</v>
      </c>
      <c r="J97" s="3" t="n">
        <v>151.954277709925</v>
      </c>
      <c r="K97" s="3" t="n">
        <v>283.589586388888</v>
      </c>
      <c r="L97" s="3" t="n">
        <v>-29.9999999999999</v>
      </c>
      <c r="M97" s="3" t="n">
        <v>492.137981388888</v>
      </c>
      <c r="N97" s="3" t="n">
        <v>0</v>
      </c>
      <c r="O97" s="3" t="n">
        <v>284.603185555555</v>
      </c>
      <c r="P97" s="3" t="n">
        <v>-150</v>
      </c>
      <c r="Q97" s="3" t="n">
        <v>492.811795555555</v>
      </c>
      <c r="R97" s="3" t="n">
        <v>-120.191580420719</v>
      </c>
      <c r="S97" s="3" t="n">
        <v>283.97936</v>
      </c>
      <c r="T97" s="3" t="n">
        <v>90</v>
      </c>
      <c r="U97" s="3" t="n">
        <v>491.093891944444</v>
      </c>
      <c r="V97" s="3" t="n">
        <v>119.830151777803</v>
      </c>
      <c r="W97" s="3" t="n">
        <v>2.30626631388888</v>
      </c>
      <c r="X97" s="3" t="n">
        <v>-29.3607842551847</v>
      </c>
      <c r="Y97" s="3" t="n">
        <v>1.85816301666666</v>
      </c>
      <c r="Z97" s="3" t="n">
        <v>-179.067261195399</v>
      </c>
      <c r="AA97" s="3" t="n">
        <v>1.189190175</v>
      </c>
      <c r="AB97" s="3" t="n">
        <v>91.614462980761</v>
      </c>
      <c r="AC97" s="3" t="n">
        <v>641.026672222222</v>
      </c>
      <c r="AD97" s="3" t="n">
        <v>455.232568333333</v>
      </c>
      <c r="AE97" s="3" t="n">
        <v>310.774429444444</v>
      </c>
      <c r="AF97" s="3" t="n">
        <v>120.762286944444</v>
      </c>
      <c r="AG97" s="3" t="n">
        <v>-120.341434618425</v>
      </c>
      <c r="AH97" s="3" t="n">
        <v>121.416760277777</v>
      </c>
      <c r="AI97" s="3" t="n">
        <v>-0.324030016666057</v>
      </c>
      <c r="AJ97" s="3" t="n">
        <v>123.560801666666</v>
      </c>
      <c r="AK97" s="3" t="n">
        <v>119.932010385207</v>
      </c>
      <c r="AL97" s="3" t="n">
        <v>6.11781482777777</v>
      </c>
      <c r="AM97" s="3" t="n">
        <v>-138.291742479088</v>
      </c>
      <c r="AN97" s="3" t="n">
        <v>4.494073925</v>
      </c>
      <c r="AO97" s="3" t="n">
        <v>-22.9678286850228</v>
      </c>
      <c r="AP97" s="3" t="n">
        <v>1.5677229</v>
      </c>
      <c r="AQ97" s="3" t="n">
        <v>66.7262907332412</v>
      </c>
      <c r="AR97" s="3" t="n">
        <v>702.836675277777</v>
      </c>
      <c r="AS97" s="3" t="n">
        <v>503.593754444444</v>
      </c>
      <c r="AT97" s="3" t="n">
        <v>116.020081388888</v>
      </c>
      <c r="AU97" s="3" t="n">
        <v>24.0958041388888</v>
      </c>
      <c r="AV97" s="3" t="n">
        <v>23.9912345138888</v>
      </c>
      <c r="AW97" s="3" t="n">
        <v>24.0101204555555</v>
      </c>
      <c r="AX97" s="3" t="n">
        <v>1.21705191253992</v>
      </c>
      <c r="AY97" s="3" t="n">
        <v>1.21407175094976</v>
      </c>
      <c r="AZ97" s="3" t="n">
        <v>1.18462055054014</v>
      </c>
      <c r="BA97" s="3" t="n">
        <v>29.3258450541184</v>
      </c>
      <c r="BB97" s="3" t="n">
        <v>29.1270800910998</v>
      </c>
      <c r="BC97" s="3" t="n">
        <v>28.4428820793702</v>
      </c>
      <c r="BD97" s="3" t="n">
        <v>18.20232925</v>
      </c>
      <c r="BE97" s="3" t="n">
        <v>18.2476160194444</v>
      </c>
      <c r="BF97" s="3" t="n">
        <v>18.3335907555555</v>
      </c>
      <c r="BG97" s="3" t="n">
        <v>3.87207893218493</v>
      </c>
      <c r="BH97" s="3" t="n">
        <v>3.88064716490587</v>
      </c>
      <c r="BI97" s="3" t="n">
        <v>3.58911616598177</v>
      </c>
      <c r="BJ97" s="3" t="n">
        <v>70.4808550371045</v>
      </c>
      <c r="BK97" s="3" t="n">
        <v>70.8125592630657</v>
      </c>
      <c r="BL97" s="3" t="n">
        <v>65.8012922930931</v>
      </c>
      <c r="BM97" s="3" t="n">
        <v>193.108246527777</v>
      </c>
      <c r="BN97" s="3" t="n">
        <v>0</v>
      </c>
      <c r="BO97" s="3" t="n">
        <v>0</v>
      </c>
      <c r="BP97" s="3" t="n">
        <v>384.362163194444</v>
      </c>
      <c r="BQ97" s="3" t="n">
        <v>383.61846875</v>
      </c>
      <c r="BR97" s="3" t="n">
        <v>0</v>
      </c>
      <c r="BS97" s="169"/>
      <c r="BT97" s="169"/>
      <c r="BU97" s="169"/>
      <c r="BV97" s="169"/>
      <c r="BW97" s="169"/>
      <c r="BX97" s="169"/>
      <c r="BY97" s="169"/>
    </row>
    <row r="98" customFormat="false" ht="12.75" hidden="false" customHeight="false" outlineLevel="0" collapsed="false">
      <c r="A98" s="3" t="n">
        <v>3</v>
      </c>
      <c r="B98" s="3" t="n">
        <v>3.1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9"/>
      <c r="BE98" s="169"/>
      <c r="BF98" s="169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 t="n">
        <f aca="false">IFERROR(__xludf.dummyfunction("COVARIANCE.S(FILTER(AU$2:AU$105,$B$2:$B$105 = $B98, $C$2:$C$105 &lt;&gt; $C98, $D$2:$D$105 = ""Mean""),FILTER(AX$2:AX$105,$B$2:$B$105 = $B98, $C$2:$C$105 &lt;&gt; $C98, $D$2:$D$105 = ""Mean""))"),-0.00000000513207460890727)</f>
        <v>-5.13207460890727E-009</v>
      </c>
      <c r="BT98" s="169" t="n">
        <f aca="false">IFERROR(__xludf.dummyfunction("COVARIANCE.S(FILTER(AV$2:AV$105,$B$2:$B$105 = $B98, $C$2:$C$105 &lt;&gt; $C98, $D$2:$D$105 = ""Mean""),FILTER(AY$2:AY$105,$B$2:$B$105 = $B98, $C$2:$C$105 &lt;&gt; $C98, $D$2:$D$105 = ""Mean""))"),-0.0000000779980749739901)</f>
        <v>-7.79980749739901E-008</v>
      </c>
      <c r="BU98" s="169" t="n">
        <f aca="false">IFERROR(__xludf.dummyfunction("COVARIANCE.S(FILTER(AW$2:AW$105,$B$2:$B$105 = $B98, $C$2:$C$105 &lt;&gt; $C98, $D$2:$D$105 = ""Mean""),FILTER(AZ$2:AZ$105,$B$2:$B$105 = $B98, $C$2:$C$105 &lt;&gt; $C98, $D$2:$D$105 = ""Mean""))"),0.0000000555320194041152)</f>
        <v>5.55320194041152E-008</v>
      </c>
      <c r="BV98" s="169" t="n">
        <f aca="false">IFERROR(__xludf.dummyfunction("COVARIANCE.S(FILTER(BD$2:BD$105,$B$2:$B$105 = $B98, $C$2:$C$105 &lt;&gt; $C98, $D$2:$D$105 = ""Mean""),FILTER(BG$2:BG$105,$B$2:$B$105 = $B98, $C$2:$C$105 &lt;&gt; $C98, $D$2:$D$105 = ""Mean""))"),0.0000000147688387805917)</f>
        <v>1.47688387805917E-008</v>
      </c>
      <c r="BW98" s="169" t="n">
        <f aca="false">IFERROR(__xludf.dummyfunction("COVARIANCE.S(FILTER(BE$2:BE$105,$B$2:$B$105 = $B98, $C$2:$C$105 &lt;&gt; $C98, $D$2:$D$105 = ""Mean""),FILTER(BH$2:BH$105,$B$2:$B$105 = $B98, $C$2:$C$105 &lt;&gt; $C98, $D$2:$D$105 = ""Mean""))"),-0.00000000260943654543766)</f>
        <v>-2.60943654543766E-009</v>
      </c>
      <c r="BX98" s="169" t="n">
        <f aca="false">IFERROR(__xludf.dummyfunction("COVARIANCE.S(FILTER(BF$2:BF$105,$B$2:$B$105 = $B98, $C$2:$C$105 &lt;&gt; $C98, $D$2:$D$105 = ""Mean""),FILTER(BI$2:BI$105,$B$2:$B$105 = $B98, $C$2:$C$105 &lt;&gt; $C98, $D$2:$D$105 = ""Mean""))"),0.0000000102395682491763)</f>
        <v>1.02395682491763E-008</v>
      </c>
      <c r="BY98" s="169"/>
    </row>
    <row r="99" customFormat="false" ht="12.75" hidden="false" customHeight="false" outlineLevel="0" collapsed="false">
      <c r="A99" s="3" t="n">
        <v>3</v>
      </c>
      <c r="B99" s="3" t="n">
        <v>3.2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9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 t="n">
        <f aca="false">IFERROR(__xludf.dummyfunction("COVARIANCE.S(FILTER(AU$2:AU$105,$B$2:$B$105 = $B99, $C$2:$C$105 &lt;&gt; $C99, $D$2:$D$105 = ""Mean""),FILTER(AX$2:AX$105,$B$2:$B$105 = $B99, $C$2:$C$105 &lt;&gt; $C99, $D$2:$D$105 = ""Mean""))"),-0.000307095889890091)</f>
        <v>-0.000307095889890091</v>
      </c>
      <c r="BT99" s="169" t="n">
        <f aca="false">IFERROR(__xludf.dummyfunction("COVARIANCE.S(FILTER(AV$2:AV$105,$B$2:$B$105 = $B99, $C$2:$C$105 &lt;&gt; $C99, $D$2:$D$105 = ""Mean""),FILTER(AY$2:AY$105,$B$2:$B$105 = $B99, $C$2:$C$105 &lt;&gt; $C99, $D$2:$D$105 = ""Mean""))"),-0.00042768508766258)</f>
        <v>-0.00042768508766258</v>
      </c>
      <c r="BU99" s="169" t="n">
        <f aca="false">IFERROR(__xludf.dummyfunction("COVARIANCE.S(FILTER(AW$2:AW$105,$B$2:$B$105 = $B99, $C$2:$C$105 &lt;&gt; $C99, $D$2:$D$105 = ""Mean""),FILTER(AZ$2:AZ$105,$B$2:$B$105 = $B99, $C$2:$C$105 &lt;&gt; $C99, $D$2:$D$105 = ""Mean""))"),-0.00075963500066895)</f>
        <v>-0.00075963500066895</v>
      </c>
      <c r="BV99" s="169" t="n">
        <f aca="false">IFERROR(__xludf.dummyfunction("COVARIANCE.S(FILTER(BD$2:BD$105,$B$2:$B$105 = $B99, $C$2:$C$105 &lt;&gt; $C99, $D$2:$D$105 = ""Mean""),FILTER(BG$2:BG$105,$B$2:$B$105 = $B99, $C$2:$C$105 &lt;&gt; $C99, $D$2:$D$105 = ""Mean""))"),0.0000027548104408709)</f>
        <v>2.7548104408709E-006</v>
      </c>
      <c r="BW99" s="169" t="n">
        <f aca="false">IFERROR(__xludf.dummyfunction("COVARIANCE.S(FILTER(BE$2:BE$105,$B$2:$B$105 = $B99, $C$2:$C$105 &lt;&gt; $C99, $D$2:$D$105 = ""Mean""),FILTER(BH$2:BH$105,$B$2:$B$105 = $B99, $C$2:$C$105 &lt;&gt; $C99, $D$2:$D$105 = ""Mean""))"),-0.00000181379548594613)</f>
        <v>-1.81379548594613E-006</v>
      </c>
      <c r="BX99" s="169" t="n">
        <f aca="false">IFERROR(__xludf.dummyfunction("COVARIANCE.S(FILTER(BF$2:BF$105,$B$2:$B$105 = $B99, $C$2:$C$105 &lt;&gt; $C99, $D$2:$D$105 = ""Mean""),FILTER(BI$2:BI$105,$B$2:$B$105 = $B99, $C$2:$C$105 &lt;&gt; $C99, $D$2:$D$105 = ""Mean""))"),-0.0000545383402330347)</f>
        <v>-5.45383402330347E-005</v>
      </c>
      <c r="BY99" s="169"/>
    </row>
    <row r="100" customFormat="false" ht="12.75" hidden="false" customHeight="false" outlineLevel="0" collapsed="false">
      <c r="A100" s="170" t="n">
        <v>3</v>
      </c>
      <c r="B100" s="170" t="n">
        <v>3.3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 t="n">
        <f aca="false">IFERROR(__xludf.dummyfunction("COVARIANCE.S(FILTER(AU$2:AU$105,$B$2:$B$105 = $B100, $C$2:$C$105 &lt;&gt; $C100, $D$2:$D$105 = ""Mean""),FILTER(AX$2:AX$105,$B$2:$B$105 = $B100, $C$2:$C$105 &lt;&gt; $C100, $D$2:$D$105 = ""Mean""))"),-0.0000514403381483995)</f>
        <v>-5.14403381483995E-005</v>
      </c>
      <c r="BT100" s="169" t="n">
        <f aca="false">IFERROR(__xludf.dummyfunction("COVARIANCE.S(FILTER(AV$2:AV$105,$B$2:$B$105 = $B100, $C$2:$C$105 &lt;&gt; $C100, $D$2:$D$105 = ""Mean""),FILTER(AY$2:AY$105,$B$2:$B$105 = $B100, $C$2:$C$105 &lt;&gt; $C100, $D$2:$D$105 = ""Mean""))"),-0.0000459025235954279)</f>
        <v>-4.59025235954279E-005</v>
      </c>
      <c r="BU100" s="169" t="n">
        <f aca="false">IFERROR(__xludf.dummyfunction("COVARIANCE.S(FILTER(AW$2:AW$105,$B$2:$B$105 = $B100, $C$2:$C$105 &lt;&gt; $C100, $D$2:$D$105 = ""Mean""),FILTER(AZ$2:AZ$105,$B$2:$B$105 = $B100, $C$2:$C$105 &lt;&gt; $C100, $D$2:$D$105 = ""Mean""))"),-0.000149775647804963)</f>
        <v>-0.000149775647804963</v>
      </c>
      <c r="BV100" s="169" t="n">
        <f aca="false">IFERROR(__xludf.dummyfunction("COVARIANCE.S(FILTER(BD$2:BD$105,$B$2:$B$105 = $B100, $C$2:$C$105 &lt;&gt; $C100, $D$2:$D$105 = ""Mean""),FILTER(BG$2:BG$105,$B$2:$B$105 = $B100, $C$2:$C$105 &lt;&gt; $C100, $D$2:$D$105 = ""Mean""))"),-0.0000471489192393628)</f>
        <v>-4.71489192393628E-005</v>
      </c>
      <c r="BW100" s="169" t="n">
        <f aca="false">IFERROR(__xludf.dummyfunction("COVARIANCE.S(FILTER(BE$2:BE$105,$B$2:$B$105 = $B100, $C$2:$C$105 &lt;&gt; $C100, $D$2:$D$105 = ""Mean""),FILTER(BH$2:BH$105,$B$2:$B$105 = $B100, $C$2:$C$105 &lt;&gt; $C100, $D$2:$D$105 = ""Mean""))"),0.000000832710747000084)</f>
        <v>8.32710747000084E-007</v>
      </c>
      <c r="BX100" s="169" t="n">
        <f aca="false">IFERROR(__xludf.dummyfunction("COVARIANCE.S(FILTER(BF$2:BF$105,$B$2:$B$105 = $B100, $C$2:$C$105 &lt;&gt; $C100, $D$2:$D$105 = ""Mean""),FILTER(BI$2:BI$105,$B$2:$B$105 = $B100, $C$2:$C$105 &lt;&gt; $C100, $D$2:$D$105 = ""Mean""))"),0.0000150392938223456)</f>
        <v>1.50392938223456E-005</v>
      </c>
      <c r="BY100" s="3"/>
    </row>
    <row r="101" customFormat="false" ht="12.75" hidden="false" customHeight="false" outlineLevel="0" collapsed="false">
      <c r="A101" s="170" t="n">
        <v>3</v>
      </c>
      <c r="B101" s="170" t="n">
        <v>3.4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 t="n">
        <f aca="false">IFERROR(__xludf.dummyfunction("COVARIANCE.S(FILTER(AU$2:AU$105,$B$2:$B$105 = $B101, $C$2:$C$105 &lt;&gt; $C101, $D$2:$D$105 = ""Mean""),FILTER(AX$2:AX$105,$B$2:$B$105 = $B101, $C$2:$C$105 &lt;&gt; $C101, $D$2:$D$105 = ""Mean""))"),0.0000000587542340431372)</f>
        <v>5.87542340431372E-008</v>
      </c>
      <c r="BT101" s="169" t="n">
        <f aca="false">IFERROR(__xludf.dummyfunction("COVARIANCE.S(FILTER(AV$2:AV$105,$B$2:$B$105 = $B101, $C$2:$C$105 &lt;&gt; $C101, $D$2:$D$105 = ""Mean""),FILTER(AY$2:AY$105,$B$2:$B$105 = $B101, $C$2:$C$105 &lt;&gt; $C101, $D$2:$D$105 = ""Mean""))"),-0.000000346486255699046)</f>
        <v>-3.46486255699046E-007</v>
      </c>
      <c r="BU101" s="169" t="n">
        <f aca="false">IFERROR(__xludf.dummyfunction("COVARIANCE.S(FILTER(AW$2:AW$105,$B$2:$B$105 = $B101, $C$2:$C$105 &lt;&gt; $C101, $D$2:$D$105 = ""Mean""),FILTER(AZ$2:AZ$105,$B$2:$B$105 = $B101, $C$2:$C$105 &lt;&gt; $C101, $D$2:$D$105 = ""Mean""))"),0.0000000239058147177784)</f>
        <v>2.39058147177784E-008</v>
      </c>
      <c r="BV101" s="169" t="n">
        <f aca="false">IFERROR(__xludf.dummyfunction("COVARIANCE.S(FILTER(BD$2:BD$105,$B$2:$B$105 = $B101, $C$2:$C$105 &lt;&gt; $C101, $D$2:$D$105 = ""Mean""),FILTER(BG$2:BG$105,$B$2:$B$105 = $B101, $C$2:$C$105 &lt;&gt; $C101, $D$2:$D$105 = ""Mean""))"),-0.000000722570321608364)</f>
        <v>-7.22570321608364E-007</v>
      </c>
      <c r="BW101" s="169" t="n">
        <f aca="false">IFERROR(__xludf.dummyfunction("COVARIANCE.S(FILTER(BE$2:BE$105,$B$2:$B$105 = $B101, $C$2:$C$105 &lt;&gt; $C101, $D$2:$D$105 = ""Mean""),FILTER(BH$2:BH$105,$B$2:$B$105 = $B101, $C$2:$C$105 &lt;&gt; $C101, $D$2:$D$105 = ""Mean""))"),0.000000729194533957711)</f>
        <v>7.29194533957711E-007</v>
      </c>
      <c r="BX101" s="169" t="n">
        <f aca="false">IFERROR(__xludf.dummyfunction("COVARIANCE.S(FILTER(BF$2:BF$105,$B$2:$B$105 = $B101, $C$2:$C$105 &lt;&gt; $C101, $D$2:$D$105 = ""Mean""),FILTER(BI$2:BI$105,$B$2:$B$105 = $B101, $C$2:$C$105 &lt;&gt; $C101, $D$2:$D$105 = ""Mean""))"),-0.0000199718275407121)</f>
        <v>-1.99718275407121E-005</v>
      </c>
      <c r="BY101" s="3"/>
    </row>
    <row r="102" customFormat="false" ht="12.75" hidden="false" customHeight="false" outlineLevel="0" collapsed="false">
      <c r="A102" s="3" t="n">
        <v>4</v>
      </c>
      <c r="B102" s="3" t="n">
        <v>4.1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9"/>
      <c r="BE102" s="169"/>
      <c r="BF102" s="169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 t="n">
        <f aca="false">IFERROR(__xludf.dummyfunction("COVARIANCE.S(FILTER(AU$2:AU$105,$B$2:$B$105 = $B102, $C$2:$C$105 &lt;&gt; $C102, $D$2:$D$105 = ""Mean""),FILTER(AX$2:AX$105,$B$2:$B$105 = $B102, $C$2:$C$105 &lt;&gt; $C102, $D$2:$D$105 = ""Mean""))"),0.0000000111961854967056)</f>
        <v>1.11961854967056E-008</v>
      </c>
      <c r="BT102" s="169" t="n">
        <f aca="false">IFERROR(__xludf.dummyfunction("COVARIANCE.S(FILTER(AV$2:AV$105,$B$2:$B$105 = $B102, $C$2:$C$105 &lt;&gt; $C102, $D$2:$D$105 = ""Mean""),FILTER(AY$2:AY$105,$B$2:$B$105 = $B102, $C$2:$C$105 &lt;&gt; $C102, $D$2:$D$105 = ""Mean""))"),-0.0000000295854317705591)</f>
        <v>-2.95854317705591E-008</v>
      </c>
      <c r="BU102" s="169" t="n">
        <f aca="false">IFERROR(__xludf.dummyfunction("COVARIANCE.S(FILTER(AW$2:AW$105,$B$2:$B$105 = $B102, $C$2:$C$105 &lt;&gt; $C102, $D$2:$D$105 = ""Mean""),FILTER(AZ$2:AZ$105,$B$2:$B$105 = $B102, $C$2:$C$105 &lt;&gt; $C102, $D$2:$D$105 = ""Mean""))"),0.0000000150849398843282)</f>
        <v>1.50849398843282E-008</v>
      </c>
      <c r="BV102" s="169" t="n">
        <f aca="false">IFERROR(__xludf.dummyfunction("COVARIANCE.S(FILTER(BD$2:BD$105,$B$2:$B$105 = $B102, $C$2:$C$105 &lt;&gt; $C102, $D$2:$D$105 = ""Mean""),FILTER(BG$2:BG$105,$B$2:$B$105 = $B102, $C$2:$C$105 &lt;&gt; $C102, $D$2:$D$105 = ""Mean""))"),0.00000000130543326644353)</f>
        <v>1.30543326644353E-009</v>
      </c>
      <c r="BW102" s="169" t="n">
        <f aca="false">IFERROR(__xludf.dummyfunction("COVARIANCE.S(FILTER(BE$2:BE$105,$B$2:$B$105 = $B102, $C$2:$C$105 &lt;&gt; $C102, $D$2:$D$105 = ""Mean""),FILTER(BH$2:BH$105,$B$2:$B$105 = $B102, $C$2:$C$105 &lt;&gt; $C102, $D$2:$D$105 = ""Mean""))"),-0.0000000005245536715751)</f>
        <v>-5.245536715751E-010</v>
      </c>
      <c r="BX102" s="169" t="n">
        <f aca="false">IFERROR(__xludf.dummyfunction("COVARIANCE.S(FILTER(BF$2:BF$105,$B$2:$B$105 = $B102, $C$2:$C$105 &lt;&gt; $C102, $D$2:$D$105 = ""Mean""),FILTER(BI$2:BI$105,$B$2:$B$105 = $B102, $C$2:$C$105 &lt;&gt; $C102, $D$2:$D$105 = ""Mean""))"),0.00000000652412786019114)</f>
        <v>6.52412786019114E-009</v>
      </c>
      <c r="BY102" s="169"/>
    </row>
    <row r="103" customFormat="false" ht="12.75" hidden="false" customHeight="false" outlineLevel="0" collapsed="false">
      <c r="A103" s="3" t="n">
        <v>4</v>
      </c>
      <c r="B103" s="3" t="n">
        <v>4.2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9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 t="n">
        <f aca="false">IFERROR(__xludf.dummyfunction("COVARIANCE.S(FILTER(AU$2:AU$105,$B$2:$B$105 = $B103, $C$2:$C$105 &lt;&gt; $C103, $D$2:$D$105 = ""Mean""),FILTER(AX$2:AX$105,$B$2:$B$105 = $B103, $C$2:$C$105 &lt;&gt; $C103, $D$2:$D$105 = ""Mean""))"),-0.000000419884671423327)</f>
        <v>-4.19884671423327E-007</v>
      </c>
      <c r="BT103" s="169" t="n">
        <f aca="false">IFERROR(__xludf.dummyfunction("COVARIANCE.S(FILTER(AV$2:AV$105,$B$2:$B$105 = $B103, $C$2:$C$105 &lt;&gt; $C103, $D$2:$D$105 = ""Mean""),FILTER(AY$2:AY$105,$B$2:$B$105 = $B103, $C$2:$C$105 &lt;&gt; $C103, $D$2:$D$105 = ""Mean""))"),-0.000000147685131412969)</f>
        <v>-1.47685131412969E-007</v>
      </c>
      <c r="BU103" s="169" t="n">
        <f aca="false">IFERROR(__xludf.dummyfunction("COVARIANCE.S(FILTER(AW$2:AW$105,$B$2:$B$105 = $B103, $C$2:$C$105 &lt;&gt; $C103, $D$2:$D$105 = ""Mean""),FILTER(AZ$2:AZ$105,$B$2:$B$105 = $B103, $C$2:$C$105 &lt;&gt; $C103, $D$2:$D$105 = ""Mean""))"),-0.000000168918370166893)</f>
        <v>-1.68918370166893E-007</v>
      </c>
      <c r="BV103" s="169" t="n">
        <f aca="false">IFERROR(__xludf.dummyfunction("COVARIANCE.S(FILTER(BD$2:BD$105,$B$2:$B$105 = $B103, $C$2:$C$105 &lt;&gt; $C103, $D$2:$D$105 = ""Mean""),FILTER(BG$2:BG$105,$B$2:$B$105 = $B103, $C$2:$C$105 &lt;&gt; $C103, $D$2:$D$105 = ""Mean""))"),0.00000568345645609124)</f>
        <v>5.68345645609124E-006</v>
      </c>
      <c r="BW103" s="169" t="n">
        <f aca="false">IFERROR(__xludf.dummyfunction("COVARIANCE.S(FILTER(BE$2:BE$105,$B$2:$B$105 = $B103, $C$2:$C$105 &lt;&gt; $C103, $D$2:$D$105 = ""Mean""),FILTER(BH$2:BH$105,$B$2:$B$105 = $B103, $C$2:$C$105 &lt;&gt; $C103, $D$2:$D$105 = ""Mean""))"),0.000000223702389395679)</f>
        <v>2.23702389395679E-007</v>
      </c>
      <c r="BX103" s="169" t="n">
        <f aca="false">IFERROR(__xludf.dummyfunction("COVARIANCE.S(FILTER(BF$2:BF$105,$B$2:$B$105 = $B103, $C$2:$C$105 &lt;&gt; $C103, $D$2:$D$105 = ""Mean""),FILTER(BI$2:BI$105,$B$2:$B$105 = $B103, $C$2:$C$105 &lt;&gt; $C103, $D$2:$D$105 = ""Mean""))"),-0.0000302624188236789)</f>
        <v>-3.02624188236789E-005</v>
      </c>
      <c r="BY103" s="169"/>
    </row>
    <row r="104" customFormat="false" ht="12.75" hidden="false" customHeight="false" outlineLevel="0" collapsed="false">
      <c r="A104" s="170" t="n">
        <v>4</v>
      </c>
      <c r="B104" s="170" t="n">
        <v>4.3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 t="n">
        <f aca="false">IFERROR(__xludf.dummyfunction("COVARIANCE.S(FILTER(AU$2:AU$105,$B$2:$B$105 = $B104, $C$2:$C$105 &lt;&gt; $C104, $D$2:$D$105 = ""Mean""),FILTER(AX$2:AX$105,$B$2:$B$105 = $B104, $C$2:$C$105 &lt;&gt; $C104, $D$2:$D$105 = ""Mean""))"),-0.000000157302765451203)</f>
        <v>-1.57302765451203E-007</v>
      </c>
      <c r="BT104" s="169" t="n">
        <f aca="false">IFERROR(__xludf.dummyfunction("COVARIANCE.S(FILTER(AV$2:AV$105,$B$2:$B$105 = $B104, $C$2:$C$105 &lt;&gt; $C104, $D$2:$D$105 = ""Mean""),FILTER(AY$2:AY$105,$B$2:$B$105 = $B104, $C$2:$C$105 &lt;&gt; $C104, $D$2:$D$105 = ""Mean""))"),0.0000000135402871821088)</f>
        <v>1.35402871821088E-008</v>
      </c>
      <c r="BU104" s="169" t="n">
        <f aca="false">IFERROR(__xludf.dummyfunction("COVARIANCE.S(FILTER(AW$2:AW$105,$B$2:$B$105 = $B104, $C$2:$C$105 &lt;&gt; $C104, $D$2:$D$105 = ""Mean""),FILTER(AZ$2:AZ$105,$B$2:$B$105 = $B104, $C$2:$C$105 &lt;&gt; $C104, $D$2:$D$105 = ""Mean""))"),-0.000000144096124068652)</f>
        <v>-1.44096124068652E-007</v>
      </c>
      <c r="BV104" s="169" t="n">
        <f aca="false">IFERROR(__xludf.dummyfunction("COVARIANCE.S(FILTER(BD$2:BD$105,$B$2:$B$105 = $B104, $C$2:$C$105 &lt;&gt; $C104, $D$2:$D$105 = ""Mean""),FILTER(BG$2:BG$105,$B$2:$B$105 = $B104, $C$2:$C$105 &lt;&gt; $C104, $D$2:$D$105 = ""Mean""))"),0.00000871008886021802)</f>
        <v>8.71008886021802E-006</v>
      </c>
      <c r="BW104" s="169" t="n">
        <f aca="false">IFERROR(__xludf.dummyfunction("COVARIANCE.S(FILTER(BE$2:BE$105,$B$2:$B$105 = $B104, $C$2:$C$105 &lt;&gt; $C104, $D$2:$D$105 = ""Mean""),FILTER(BH$2:BH$105,$B$2:$B$105 = $B104, $C$2:$C$105 &lt;&gt; $C104, $D$2:$D$105 = ""Mean""))"),0.000000184805323363905)</f>
        <v>1.84805323363905E-007</v>
      </c>
      <c r="BX104" s="169" t="n">
        <f aca="false">IFERROR(__xludf.dummyfunction("COVARIANCE.S(FILTER(BF$2:BF$105,$B$2:$B$105 = $B104, $C$2:$C$105 &lt;&gt; $C104, $D$2:$D$105 = ""Mean""),FILTER(BI$2:BI$105,$B$2:$B$105 = $B104, $C$2:$C$105 &lt;&gt; $C104, $D$2:$D$105 = ""Mean""))"),-0.0000412618212532579)</f>
        <v>-4.12618212532579E-005</v>
      </c>
      <c r="BY104" s="3"/>
    </row>
    <row r="105" customFormat="false" ht="12.75" hidden="false" customHeight="false" outlineLevel="0" collapsed="false">
      <c r="A105" s="170" t="n">
        <v>4</v>
      </c>
      <c r="B105" s="170" t="n">
        <v>4.4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 t="n">
        <f aca="false">IFERROR(__xludf.dummyfunction("COVARIANCE.S(FILTER(AU$2:AU$105,$B$2:$B$105 = $B105, $C$2:$C$105 &lt;&gt; $C105, $D$2:$D$105 = ""Mean""),FILTER(AX$2:AX$105,$B$2:$B$105 = $B105, $C$2:$C$105 &lt;&gt; $C105, $D$2:$D$105 = ""Mean""))"),0.000000670909957287228)</f>
        <v>6.70909957287228E-007</v>
      </c>
      <c r="BT105" s="169" t="n">
        <f aca="false">IFERROR(__xludf.dummyfunction("COVARIANCE.S(FILTER(AV$2:AV$105,$B$2:$B$105 = $B105, $C$2:$C$105 &lt;&gt; $C105, $D$2:$D$105 = ""Mean""),FILTER(AY$2:AY$105,$B$2:$B$105 = $B105, $C$2:$C$105 &lt;&gt; $C105, $D$2:$D$105 = ""Mean""))"),-0.00000000909911667141349)</f>
        <v>-9.09911667141349E-009</v>
      </c>
      <c r="BU105" s="169" t="n">
        <f aca="false">IFERROR(__xludf.dummyfunction("COVARIANCE.S(FILTER(AW$2:AW$105,$B$2:$B$105 = $B105, $C$2:$C$105 &lt;&gt; $C105, $D$2:$D$105 = ""Mean""),FILTER(AZ$2:AZ$105,$B$2:$B$105 = $B105, $C$2:$C$105 &lt;&gt; $C105, $D$2:$D$105 = ""Mean""))"),-0.0000000548656499497844)</f>
        <v>-5.48656499497844E-008</v>
      </c>
      <c r="BV105" s="169" t="n">
        <f aca="false">IFERROR(__xludf.dummyfunction("COVARIANCE.S(FILTER(BD$2:BD$105,$B$2:$B$105 = $B105, $C$2:$C$105 &lt;&gt; $C105, $D$2:$D$105 = ""Mean""),FILTER(BG$2:BG$105,$B$2:$B$105 = $B105, $C$2:$C$105 &lt;&gt; $C105, $D$2:$D$105 = ""Mean""))"),-0.000000624134426828985)</f>
        <v>-6.24134426828985E-007</v>
      </c>
      <c r="BW105" s="169" t="n">
        <f aca="false">IFERROR(__xludf.dummyfunction("COVARIANCE.S(FILTER(BE$2:BE$105,$B$2:$B$105 = $B105, $C$2:$C$105 &lt;&gt; $C105, $D$2:$D$105 = ""Mean""),FILTER(BH$2:BH$105,$B$2:$B$105 = $B105, $C$2:$C$105 &lt;&gt; $C105, $D$2:$D$105 = ""Mean""))"),-0.000000136810981184899)</f>
        <v>-1.36810981184899E-007</v>
      </c>
      <c r="BX105" s="169" t="n">
        <f aca="false">IFERROR(__xludf.dummyfunction("COVARIANCE.S(FILTER(BF$2:BF$105,$B$2:$B$105 = $B105, $C$2:$C$105 &lt;&gt; $C105, $D$2:$D$105 = ""Mean""),FILTER(BI$2:BI$105,$B$2:$B$105 = $B105, $C$2:$C$105 &lt;&gt; $C105, $D$2:$D$105 = ""Mean""))"),-0.0000429778355573606)</f>
        <v>-4.29778355573606E-005</v>
      </c>
      <c r="BY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BY1056">
    <filterColumn colId="2">
      <customFilters and="true">
        <customFilter operator="equal" val="All"/>
      </customFilters>
    </filterColumn>
  </autoFilter>
  <conditionalFormatting sqref="A2:BY105">
    <cfRule type="expression" priority="2" aboveAverage="0" equalAverage="0" bottom="0" percent="0" rank="0" text="" dxfId="4">
      <formula>$D2="Mean"</formula>
    </cfRule>
  </conditionalFormatting>
  <conditionalFormatting sqref="A2:BY105">
    <cfRule type="expression" priority="3" aboveAverage="0" equalAverage="0" bottom="0" percent="0" rank="0" text="" dxfId="5">
      <formula>$D2="Variance"</formula>
    </cfRule>
  </conditionalFormatting>
  <conditionalFormatting sqref="A2:BY105">
    <cfRule type="expression" priority="4" aboveAverage="0" equalAverage="0" bottom="0" percent="0" rank="0" text="" dxfId="6">
      <formula>$D2="Covariance"</formula>
    </cfRule>
  </conditionalFormatting>
  <conditionalFormatting sqref="A2:BY105">
    <cfRule type="expression" priority="5" aboveAverage="0" equalAverage="0" bottom="0" percent="0" rank="0" text="" dxfId="7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F10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1.71"/>
    <col collapsed="false" customWidth="true" hidden="false" outlineLevel="0" max="3" min="3" style="0" width="7.57"/>
    <col collapsed="false" customWidth="true" hidden="false" outlineLevel="0" max="4" min="4" style="0" width="16.57"/>
    <col collapsed="false" customWidth="true" hidden="false" outlineLevel="0" max="5" min="5" style="0" width="14.69"/>
    <col collapsed="false" customWidth="true" hidden="false" outlineLevel="0" max="6" min="6" style="0" width="16"/>
    <col collapsed="false" customWidth="true" hidden="false" outlineLevel="0" max="7" min="7" style="0" width="16.71"/>
    <col collapsed="false" customWidth="true" hidden="false" outlineLevel="0" max="8" min="8" style="0" width="21.14"/>
    <col collapsed="false" customWidth="true" hidden="false" outlineLevel="0" max="9" min="9" style="0" width="19.14"/>
    <col collapsed="false" customWidth="true" hidden="false" outlineLevel="0" max="10" min="10" style="0" width="16.87"/>
    <col collapsed="false" customWidth="true" hidden="false" outlineLevel="0" max="11" min="11" style="0" width="15.71"/>
    <col collapsed="false" customWidth="true" hidden="false" outlineLevel="0" max="12" min="12" style="0" width="11.99"/>
    <col collapsed="false" customWidth="true" hidden="false" outlineLevel="0" max="13" min="13" style="0" width="15.71"/>
    <col collapsed="false" customWidth="true" hidden="false" outlineLevel="0" max="14" min="14" style="0" width="13.29"/>
    <col collapsed="false" customWidth="true" hidden="false" outlineLevel="0" max="15" min="15" style="0" width="14.69"/>
    <col collapsed="false" customWidth="true" hidden="false" outlineLevel="0" max="16" min="16" style="0" width="11.99"/>
    <col collapsed="false" customWidth="true" hidden="false" outlineLevel="0" max="17" min="17" style="0" width="14.69"/>
    <col collapsed="false" customWidth="true" hidden="false" outlineLevel="0" max="18" min="18" style="0" width="16.71"/>
    <col collapsed="false" customWidth="true" hidden="false" outlineLevel="0" max="19" min="19" style="0" width="15.71"/>
    <col collapsed="false" customWidth="true" hidden="false" outlineLevel="0" max="20" min="20" style="0" width="11.99"/>
    <col collapsed="false" customWidth="true" hidden="false" outlineLevel="0" max="21" min="21" style="0" width="14.69"/>
    <col collapsed="false" customWidth="true" hidden="false" outlineLevel="0" max="22" min="22" style="0" width="16.57"/>
    <col collapsed="false" customWidth="true" hidden="false" outlineLevel="0" max="23" min="23" style="0" width="20.71"/>
    <col collapsed="false" customWidth="true" hidden="false" outlineLevel="0" max="24" min="24" style="0" width="16.57"/>
    <col collapsed="false" customWidth="true" hidden="false" outlineLevel="0" max="25" min="25" style="0" width="18.71"/>
    <col collapsed="false" customWidth="true" hidden="false" outlineLevel="0" max="26" min="26" style="0" width="15.71"/>
    <col collapsed="false" customWidth="true" hidden="false" outlineLevel="0" max="27" min="27" style="0" width="19.71"/>
    <col collapsed="false" customWidth="true" hidden="false" outlineLevel="0" max="28" min="28" style="0" width="17.71"/>
    <col collapsed="false" customWidth="true" hidden="false" outlineLevel="0" max="31" min="29" style="0" width="18.58"/>
    <col collapsed="false" customWidth="true" hidden="false" outlineLevel="0" max="32" min="32" style="0" width="18.12"/>
    <col collapsed="false" customWidth="true" hidden="false" outlineLevel="0" max="33" min="33" style="0" width="22.57"/>
    <col collapsed="false" customWidth="true" hidden="false" outlineLevel="0" max="34" min="34" style="0" width="21.71"/>
    <col collapsed="false" customWidth="true" hidden="false" outlineLevel="0" max="35" min="35" style="0" width="21.86"/>
    <col collapsed="false" customWidth="true" hidden="false" outlineLevel="0" max="36" min="36" style="0" width="18.12"/>
    <col collapsed="false" customWidth="true" hidden="false" outlineLevel="0" max="37" min="37" style="0" width="19.71"/>
    <col collapsed="false" customWidth="true" hidden="false" outlineLevel="0" max="38" min="38" style="0" width="20.71"/>
    <col collapsed="false" customWidth="true" hidden="false" outlineLevel="0" max="39" min="39" style="0" width="18.71"/>
    <col collapsed="false" customWidth="true" hidden="false" outlineLevel="0" max="42" min="40" style="0" width="15.71"/>
    <col collapsed="false" customWidth="true" hidden="false" outlineLevel="0" max="44" min="43" style="0" width="19.71"/>
    <col collapsed="false" customWidth="true" hidden="false" outlineLevel="0" max="45" min="45" style="0" width="18.71"/>
    <col collapsed="false" customWidth="true" hidden="false" outlineLevel="0" max="46" min="46" style="0" width="22.43"/>
    <col collapsed="false" customWidth="true" hidden="false" outlineLevel="0" max="47" min="47" style="0" width="24.41"/>
    <col collapsed="false" customWidth="true" hidden="false" outlineLevel="0" max="48" min="48" style="0" width="22.43"/>
    <col collapsed="false" customWidth="true" hidden="false" outlineLevel="0" max="49" min="49" style="0" width="24.41"/>
    <col collapsed="false" customWidth="true" hidden="false" outlineLevel="0" max="50" min="50" style="0" width="22.43"/>
    <col collapsed="false" customWidth="true" hidden="false" outlineLevel="0" max="51" min="51" style="0" width="24.41"/>
    <col collapsed="false" customWidth="true" hidden="false" outlineLevel="0" max="52" min="52" style="0" width="21.71"/>
    <col collapsed="false" customWidth="true" hidden="false" outlineLevel="0" max="53" min="53" style="0" width="23.71"/>
    <col collapsed="false" customWidth="true" hidden="false" outlineLevel="0" max="54" min="54" style="0" width="21.71"/>
    <col collapsed="false" customWidth="true" hidden="false" outlineLevel="0" max="55" min="55" style="0" width="23.71"/>
    <col collapsed="false" customWidth="true" hidden="false" outlineLevel="0" max="56" min="56" style="0" width="21.71"/>
    <col collapsed="false" customWidth="true" hidden="false" outlineLevel="0" max="57" min="57" style="0" width="23.71"/>
    <col collapsed="false" customWidth="true" hidden="false" outlineLevel="0" max="58" min="58" style="0" width="22.43"/>
    <col collapsed="false" customWidth="true" hidden="false" outlineLevel="0" max="59" min="59" style="0" width="24.41"/>
    <col collapsed="false" customWidth="true" hidden="false" outlineLevel="0" max="60" min="60" style="0" width="22.43"/>
    <col collapsed="false" customWidth="true" hidden="false" outlineLevel="0" max="61" min="61" style="0" width="24.41"/>
    <col collapsed="false" customWidth="true" hidden="false" outlineLevel="0" max="62" min="62" style="0" width="22.43"/>
    <col collapsed="false" customWidth="true" hidden="false" outlineLevel="0" max="63" min="63" style="0" width="24.41"/>
    <col collapsed="false" customWidth="true" hidden="false" outlineLevel="0" max="64" min="64" style="0" width="19"/>
    <col collapsed="false" customWidth="true" hidden="false" outlineLevel="0" max="65" min="65" style="0" width="19.42"/>
    <col collapsed="false" customWidth="true" hidden="false" outlineLevel="0" max="67" min="66" style="0" width="19"/>
    <col collapsed="false" customWidth="true" hidden="false" outlineLevel="0" max="69" min="68" style="0" width="18.85"/>
    <col collapsed="false" customWidth="true" hidden="false" outlineLevel="0" max="70" min="70" style="0" width="19.14"/>
    <col collapsed="false" customWidth="true" hidden="false" outlineLevel="0" max="74" min="71" style="0" width="19"/>
    <col collapsed="false" customWidth="true" hidden="false" outlineLevel="0" max="76" min="75" style="0" width="18.85"/>
    <col collapsed="false" customWidth="true" hidden="false" outlineLevel="0" max="77" min="77" style="0" width="19.14"/>
    <col collapsed="false" customWidth="true" hidden="false" outlineLevel="0" max="78" min="78" style="0" width="21.14"/>
    <col collapsed="false" customWidth="true" hidden="false" outlineLevel="0" max="80" min="79" style="0" width="20.86"/>
    <col collapsed="false" customWidth="true" hidden="false" outlineLevel="0" max="83" min="81" style="0" width="45.98"/>
  </cols>
  <sheetData>
    <row r="1" customFormat="false" ht="12.75" hidden="false" customHeight="false" outlineLevel="0" collapsed="false">
      <c r="A1" s="166" t="s">
        <v>144</v>
      </c>
      <c r="B1" s="166" t="s">
        <v>62</v>
      </c>
      <c r="C1" s="166" t="s">
        <v>145</v>
      </c>
      <c r="D1" s="166" t="s">
        <v>146</v>
      </c>
      <c r="E1" s="166" t="s">
        <v>147</v>
      </c>
      <c r="F1" s="166" t="s">
        <v>148</v>
      </c>
      <c r="G1" s="166" t="s">
        <v>149</v>
      </c>
      <c r="H1" s="166" t="s">
        <v>150</v>
      </c>
      <c r="I1" s="166" t="s">
        <v>151</v>
      </c>
      <c r="J1" s="166" t="s">
        <v>152</v>
      </c>
      <c r="K1" s="166" t="s">
        <v>153</v>
      </c>
      <c r="L1" s="166" t="s">
        <v>154</v>
      </c>
      <c r="M1" s="166" t="s">
        <v>155</v>
      </c>
      <c r="N1" s="166" t="s">
        <v>156</v>
      </c>
      <c r="O1" s="166" t="s">
        <v>157</v>
      </c>
      <c r="P1" s="166" t="s">
        <v>158</v>
      </c>
      <c r="Q1" s="166" t="s">
        <v>159</v>
      </c>
      <c r="R1" s="166" t="s">
        <v>160</v>
      </c>
      <c r="S1" s="166" t="s">
        <v>161</v>
      </c>
      <c r="T1" s="166" t="s">
        <v>162</v>
      </c>
      <c r="U1" s="166" t="s">
        <v>163</v>
      </c>
      <c r="V1" s="166" t="s">
        <v>164</v>
      </c>
      <c r="W1" s="166" t="s">
        <v>165</v>
      </c>
      <c r="X1" s="166" t="s">
        <v>166</v>
      </c>
      <c r="Y1" s="166" t="s">
        <v>167</v>
      </c>
      <c r="Z1" s="166" t="s">
        <v>168</v>
      </c>
      <c r="AA1" s="166" t="s">
        <v>169</v>
      </c>
      <c r="AB1" s="166" t="s">
        <v>170</v>
      </c>
      <c r="AC1" s="166" t="s">
        <v>171</v>
      </c>
      <c r="AD1" s="166" t="s">
        <v>172</v>
      </c>
      <c r="AE1" s="166" t="s">
        <v>173</v>
      </c>
      <c r="AF1" s="166" t="s">
        <v>278</v>
      </c>
      <c r="AG1" s="166" t="s">
        <v>279</v>
      </c>
      <c r="AH1" s="166" t="s">
        <v>280</v>
      </c>
      <c r="AI1" s="166" t="s">
        <v>281</v>
      </c>
      <c r="AJ1" s="166" t="s">
        <v>282</v>
      </c>
      <c r="AK1" s="166" t="s">
        <v>195</v>
      </c>
      <c r="AL1" s="166" t="s">
        <v>196</v>
      </c>
      <c r="AM1" s="166" t="s">
        <v>197</v>
      </c>
      <c r="AN1" s="166" t="s">
        <v>198</v>
      </c>
      <c r="AO1" s="166" t="s">
        <v>199</v>
      </c>
      <c r="AP1" s="166" t="s">
        <v>200</v>
      </c>
      <c r="AQ1" s="166" t="s">
        <v>201</v>
      </c>
      <c r="AR1" s="166" t="s">
        <v>202</v>
      </c>
      <c r="AS1" s="166" t="s">
        <v>203</v>
      </c>
      <c r="AT1" s="166" t="s">
        <v>283</v>
      </c>
      <c r="AU1" s="166" t="s">
        <v>205</v>
      </c>
      <c r="AV1" s="166" t="s">
        <v>284</v>
      </c>
      <c r="AW1" s="166" t="s">
        <v>206</v>
      </c>
      <c r="AX1" s="166" t="s">
        <v>285</v>
      </c>
      <c r="AY1" s="166" t="s">
        <v>286</v>
      </c>
      <c r="AZ1" s="166" t="s">
        <v>287</v>
      </c>
      <c r="BA1" s="166" t="s">
        <v>208</v>
      </c>
      <c r="BB1" s="166" t="s">
        <v>288</v>
      </c>
      <c r="BC1" s="166" t="s">
        <v>209</v>
      </c>
      <c r="BD1" s="166" t="s">
        <v>289</v>
      </c>
      <c r="BE1" s="166" t="s">
        <v>290</v>
      </c>
      <c r="BF1" s="166" t="s">
        <v>291</v>
      </c>
      <c r="BG1" s="166" t="s">
        <v>211</v>
      </c>
      <c r="BH1" s="166" t="s">
        <v>292</v>
      </c>
      <c r="BI1" s="166" t="s">
        <v>212</v>
      </c>
      <c r="BJ1" s="166" t="s">
        <v>293</v>
      </c>
      <c r="BK1" s="166" t="s">
        <v>294</v>
      </c>
      <c r="BL1" s="166" t="s">
        <v>295</v>
      </c>
      <c r="BM1" s="166" t="s">
        <v>296</v>
      </c>
      <c r="BN1" s="166" t="s">
        <v>297</v>
      </c>
      <c r="BO1" s="166" t="s">
        <v>298</v>
      </c>
      <c r="BP1" s="166" t="s">
        <v>299</v>
      </c>
      <c r="BQ1" s="166" t="s">
        <v>300</v>
      </c>
      <c r="BR1" s="166" t="s">
        <v>301</v>
      </c>
      <c r="BS1" s="166" t="s">
        <v>302</v>
      </c>
      <c r="BT1" s="166" t="s">
        <v>303</v>
      </c>
      <c r="BU1" s="166" t="s">
        <v>304</v>
      </c>
      <c r="BV1" s="166" t="s">
        <v>305</v>
      </c>
      <c r="BW1" s="166" t="s">
        <v>306</v>
      </c>
      <c r="BX1" s="166" t="s">
        <v>307</v>
      </c>
      <c r="BY1" s="166" t="s">
        <v>308</v>
      </c>
      <c r="BZ1" s="166" t="s">
        <v>213</v>
      </c>
      <c r="CA1" s="166" t="s">
        <v>214</v>
      </c>
      <c r="CB1" s="166" t="s">
        <v>215</v>
      </c>
      <c r="CC1" s="166" t="s">
        <v>217</v>
      </c>
      <c r="CD1" s="166" t="s">
        <v>218</v>
      </c>
      <c r="CE1" s="166" t="s">
        <v>309</v>
      </c>
      <c r="CF1" s="167"/>
    </row>
    <row r="2" customFormat="false" ht="12.75" hidden="true" customHeight="false" outlineLevel="0" collapsed="false">
      <c r="A2" s="3" t="n">
        <v>5</v>
      </c>
      <c r="B2" s="3" t="n">
        <v>5.1</v>
      </c>
      <c r="C2" s="3" t="s">
        <v>310</v>
      </c>
      <c r="D2" s="3" t="s">
        <v>220</v>
      </c>
      <c r="E2" s="3" t="n">
        <v>0.00191810212510121</v>
      </c>
      <c r="F2" s="3" t="n">
        <v>0.000282100361731912</v>
      </c>
      <c r="G2" s="3" t="n">
        <v>5.29947033646903E-006</v>
      </c>
      <c r="H2" s="3" t="n">
        <v>0.00189848401141275</v>
      </c>
      <c r="I2" s="3" t="n">
        <v>0.000312466601041977</v>
      </c>
      <c r="J2" s="3" t="n">
        <v>0.00185301434588549</v>
      </c>
      <c r="K2" s="3" t="n">
        <v>0.00774029249782605</v>
      </c>
      <c r="L2" s="3" t="n">
        <v>1.64631841089602E-029</v>
      </c>
      <c r="M2" s="3" t="n">
        <v>0.0369451600318829</v>
      </c>
      <c r="N2" s="3" t="n">
        <v>0</v>
      </c>
      <c r="O2" s="3" t="n">
        <v>0.0146939638543459</v>
      </c>
      <c r="P2" s="3" t="n">
        <v>0</v>
      </c>
      <c r="Q2" s="3" t="n">
        <v>0.0324788846601474</v>
      </c>
      <c r="R2" s="3" t="n">
        <v>7.90232837230091E-029</v>
      </c>
      <c r="S2" s="3" t="n">
        <v>0.00687166848623196</v>
      </c>
      <c r="T2" s="3" t="n">
        <v>0</v>
      </c>
      <c r="U2" s="3" t="n">
        <v>0.0185347130057956</v>
      </c>
      <c r="V2" s="3" t="n">
        <v>0</v>
      </c>
      <c r="W2" s="3" t="n">
        <v>1.3308367495579E-007</v>
      </c>
      <c r="X2" s="3" t="n">
        <v>0.000111251302410916</v>
      </c>
      <c r="Y2" s="3" t="n">
        <v>2.15494560984789E-007</v>
      </c>
      <c r="Z2" s="3" t="n">
        <v>0.000841882354673447</v>
      </c>
      <c r="AA2" s="3" t="n">
        <v>9.2423744723912E-008</v>
      </c>
      <c r="AB2" s="3" t="n">
        <v>0.000419046518836009</v>
      </c>
      <c r="AC2" s="3" t="n">
        <v>0.00105898399988403</v>
      </c>
      <c r="AD2" s="3" t="n">
        <v>0.000725989079992722</v>
      </c>
      <c r="AE2" s="3" t="n">
        <v>0.000242578542949283</v>
      </c>
      <c r="AF2" s="3" t="n">
        <v>0.00234086127536223</v>
      </c>
      <c r="AG2" s="3" t="n">
        <v>4.81482486096809E-035</v>
      </c>
      <c r="AH2" s="3" t="n">
        <v>5.0502535884069E-008</v>
      </c>
      <c r="AI2" s="3" t="n">
        <v>0.000481170599627761</v>
      </c>
      <c r="AJ2" s="3" t="n">
        <v>0.000282100361731912</v>
      </c>
      <c r="AK2" s="3" t="n">
        <v>9.15247924347955E-009</v>
      </c>
      <c r="AL2" s="3" t="n">
        <v>4.19951394782559E-009</v>
      </c>
      <c r="AM2" s="3" t="n">
        <v>5.04170058840557E-009</v>
      </c>
      <c r="AN2" s="168" t="n">
        <v>0</v>
      </c>
      <c r="AO2" s="168" t="n">
        <v>0</v>
      </c>
      <c r="AP2" s="168" t="n">
        <v>0</v>
      </c>
      <c r="AQ2" s="3" t="n">
        <v>4.11413488354789E-013</v>
      </c>
      <c r="AR2" s="3" t="n">
        <v>2.18683584391678E-013</v>
      </c>
      <c r="AS2" s="3" t="n">
        <v>3.17677270205932E-013</v>
      </c>
      <c r="AT2" s="3" t="n">
        <v>8.11706601445343E-009</v>
      </c>
      <c r="AU2" s="3" t="n">
        <v>7.27586503696096E-007</v>
      </c>
      <c r="AV2" s="3" t="n">
        <v>7.76165905796095E-009</v>
      </c>
      <c r="AW2" s="3" t="n">
        <v>8.34564398840726E-007</v>
      </c>
      <c r="AX2" s="3" t="n">
        <v>8.91698079709653E-009</v>
      </c>
      <c r="AY2" s="3" t="n">
        <v>7.47801826956909E-007</v>
      </c>
      <c r="AZ2" s="3" t="n">
        <v>9.79175339247151E-008</v>
      </c>
      <c r="BA2" s="3" t="n">
        <v>7.19253704183756E-009</v>
      </c>
      <c r="BB2" s="3" t="n">
        <v>3.8470437335913E-008</v>
      </c>
      <c r="BC2" s="3" t="n">
        <v>5.91817661536245E-009</v>
      </c>
      <c r="BD2" s="3" t="n">
        <v>8.88534635804636E-008</v>
      </c>
      <c r="BE2" s="3" t="n">
        <v>1.76804087313444E-008</v>
      </c>
      <c r="BF2" s="3" t="n">
        <v>5.90654081190638E-005</v>
      </c>
      <c r="BG2" s="3" t="n">
        <v>2.57519905447622E-006</v>
      </c>
      <c r="BH2" s="3" t="n">
        <v>2.31669367260942E-005</v>
      </c>
      <c r="BI2" s="168" t="n">
        <v>2.08652589210685E-006</v>
      </c>
      <c r="BJ2" s="168" t="n">
        <v>5.36149024515799E-005</v>
      </c>
      <c r="BK2" s="168" t="n">
        <v>6.24270424916733E-006</v>
      </c>
      <c r="BL2" s="168" t="n">
        <v>5.65005936231883E-014</v>
      </c>
      <c r="BM2" s="168" t="n">
        <v>4.03703579710145E-014</v>
      </c>
      <c r="BN2" s="168" t="n">
        <v>4.4572139057971E-014</v>
      </c>
      <c r="BO2" s="168" t="n">
        <v>4.99898393478261E-014</v>
      </c>
      <c r="BP2" s="168" t="n">
        <v>3.68030156521739E-014</v>
      </c>
      <c r="BQ2" s="168" t="n">
        <v>3.40937866666666E-014</v>
      </c>
      <c r="BR2" s="168" t="n">
        <v>2.58652677536231E-014</v>
      </c>
      <c r="BS2" s="168" t="n">
        <v>1.13284852140402E-062</v>
      </c>
      <c r="BT2" s="168" t="n">
        <v>3.80759204923316E-063</v>
      </c>
      <c r="BU2" s="168" t="n">
        <v>1.68722372860968E-063</v>
      </c>
      <c r="BV2" s="168" t="n">
        <v>9.85525734664768E-064</v>
      </c>
      <c r="BW2" s="3" t="n">
        <v>8.03649122635799E-063</v>
      </c>
      <c r="BX2" s="3" t="n">
        <v>1.00159839682614E-063</v>
      </c>
      <c r="BY2" s="3" t="n">
        <v>4.76661497564694E-064</v>
      </c>
      <c r="BZ2" s="169"/>
      <c r="CA2" s="169"/>
      <c r="CB2" s="169"/>
      <c r="CC2" s="169"/>
      <c r="CD2" s="169"/>
      <c r="CE2" s="169"/>
      <c r="CF2" s="169"/>
    </row>
    <row r="3" customFormat="false" ht="12.75" hidden="true" customHeight="false" outlineLevel="0" collapsed="false">
      <c r="A3" s="3" t="n">
        <v>5</v>
      </c>
      <c r="B3" s="3" t="n">
        <v>5.1</v>
      </c>
      <c r="C3" s="3" t="s">
        <v>311</v>
      </c>
      <c r="D3" s="3" t="s">
        <v>220</v>
      </c>
      <c r="E3" s="3" t="n">
        <v>0.00124205047223197</v>
      </c>
      <c r="F3" s="3" t="n">
        <v>0.000117926346253627</v>
      </c>
      <c r="G3" s="3" t="n">
        <v>6.7896996523295E-006</v>
      </c>
      <c r="H3" s="3" t="n">
        <v>0.00106093336236963</v>
      </c>
      <c r="I3" s="3" t="n">
        <v>0.000118723867141028</v>
      </c>
      <c r="J3" s="3" t="n">
        <v>0.00125083158035027</v>
      </c>
      <c r="K3" s="3" t="n">
        <v>0.00810390114492865</v>
      </c>
      <c r="L3" s="3" t="n">
        <v>1.75607297162242E-029</v>
      </c>
      <c r="M3" s="3" t="n">
        <v>0.019577630918844</v>
      </c>
      <c r="N3" s="3" t="n">
        <v>0</v>
      </c>
      <c r="O3" s="3" t="n">
        <v>0.0061395224579714</v>
      </c>
      <c r="P3" s="3" t="n">
        <v>0</v>
      </c>
      <c r="Q3" s="3" t="n">
        <v>0.0199362371992781</v>
      </c>
      <c r="R3" s="3" t="n">
        <v>8.78036485811213E-029</v>
      </c>
      <c r="S3" s="3" t="n">
        <v>0.00662540259710058</v>
      </c>
      <c r="T3" s="3" t="n">
        <v>0</v>
      </c>
      <c r="U3" s="3" t="n">
        <v>0.0231165921210132</v>
      </c>
      <c r="V3" s="3" t="n">
        <v>0</v>
      </c>
      <c r="W3" s="3" t="n">
        <v>8.03869798949364E-008</v>
      </c>
      <c r="X3" s="3" t="n">
        <v>0.000101100565657604</v>
      </c>
      <c r="Y3" s="3" t="n">
        <v>7.37918651826126E-008</v>
      </c>
      <c r="Z3" s="3" t="n">
        <v>0.000564894196980867</v>
      </c>
      <c r="AA3" s="3" t="n">
        <v>5.07108839992767E-008</v>
      </c>
      <c r="AB3" s="3" t="n">
        <v>7.21459357580041E-005</v>
      </c>
      <c r="AC3" s="3" t="n">
        <v>0.000629103793905784</v>
      </c>
      <c r="AD3" s="3" t="n">
        <v>0.000562882551239148</v>
      </c>
      <c r="AE3" s="3" t="n">
        <v>3.46961742318844E-005</v>
      </c>
      <c r="AF3" s="3" t="n">
        <v>0.00123940133840563</v>
      </c>
      <c r="AG3" s="3" t="n">
        <v>3.97746401558233E-035</v>
      </c>
      <c r="AH3" s="3" t="n">
        <v>4.33080595471002E-008</v>
      </c>
      <c r="AI3" s="3" t="n">
        <v>0.000166959370628924</v>
      </c>
      <c r="AJ3" s="3" t="n">
        <v>0.000117926346253627</v>
      </c>
      <c r="AK3" s="3" t="n">
        <v>6.9649000630431E-009</v>
      </c>
      <c r="AL3" s="3" t="n">
        <v>2.8160832927536E-009</v>
      </c>
      <c r="AM3" s="3" t="n">
        <v>4.81480161666668E-009</v>
      </c>
      <c r="AN3" s="3" t="n">
        <v>0</v>
      </c>
      <c r="AO3" s="3" t="n">
        <v>0</v>
      </c>
      <c r="AP3" s="3" t="n">
        <v>0</v>
      </c>
      <c r="AQ3" s="3" t="n">
        <v>1.838356825433E-013</v>
      </c>
      <c r="AR3" s="3" t="n">
        <v>2.09240851952249E-013</v>
      </c>
      <c r="AS3" s="3" t="n">
        <v>4.26235184877277E-013</v>
      </c>
      <c r="AT3" s="3" t="n">
        <v>3.93420688403432E-009</v>
      </c>
      <c r="AU3" s="3" t="n">
        <v>1.91057349274691E-007</v>
      </c>
      <c r="AV3" s="3" t="n">
        <v>3.31135536237447E-009</v>
      </c>
      <c r="AW3" s="3" t="n">
        <v>4.53155619057229E-007</v>
      </c>
      <c r="AX3" s="3" t="n">
        <v>3.65687586951289E-009</v>
      </c>
      <c r="AY3" s="3" t="n">
        <v>2.3526582840539E-007</v>
      </c>
      <c r="AZ3" s="3" t="n">
        <v>7.48332103531675E-008</v>
      </c>
      <c r="BA3" s="3" t="n">
        <v>7.02274920089392E-009</v>
      </c>
      <c r="BB3" s="3" t="n">
        <v>5.60868774099611E-008</v>
      </c>
      <c r="BC3" s="3" t="n">
        <v>8.55820474460905E-009</v>
      </c>
      <c r="BD3" s="3" t="n">
        <v>2.55365126184454E-008</v>
      </c>
      <c r="BE3" s="3" t="n">
        <v>9.292877882621E-009</v>
      </c>
      <c r="BF3" s="3" t="n">
        <v>4.51228721206776E-005</v>
      </c>
      <c r="BG3" s="3" t="n">
        <v>2.49664972112467E-006</v>
      </c>
      <c r="BH3" s="3" t="n">
        <v>3.38100717191945E-005</v>
      </c>
      <c r="BI3" s="3" t="n">
        <v>3.01919784009373E-006</v>
      </c>
      <c r="BJ3" s="3" t="n">
        <v>1.53995334470444E-005</v>
      </c>
      <c r="BK3" s="3" t="n">
        <v>3.29203773871662E-006</v>
      </c>
      <c r="BL3" s="3" t="n">
        <v>3.80107834782609E-014</v>
      </c>
      <c r="BM3" s="3" t="n">
        <v>5.28753094927536E-014</v>
      </c>
      <c r="BN3" s="3" t="n">
        <v>6.3435467173913E-014</v>
      </c>
      <c r="BO3" s="3" t="n">
        <v>9.36154779710144E-014</v>
      </c>
      <c r="BP3" s="3" t="n">
        <v>7.52001391304347E-014</v>
      </c>
      <c r="BQ3" s="3" t="n">
        <v>6.66633210869565E-014</v>
      </c>
      <c r="BR3" s="3" t="n">
        <v>3.34018539130434E-014</v>
      </c>
      <c r="BS3" s="3" t="n">
        <v>5.10763047515589E-063</v>
      </c>
      <c r="BT3" s="3" t="n">
        <v>3.8765875046825E-063</v>
      </c>
      <c r="BU3" s="3" t="n">
        <v>1.37199556813144E-063</v>
      </c>
      <c r="BV3" s="3" t="n">
        <v>1.5189720160656E-063</v>
      </c>
      <c r="BW3" s="3" t="n">
        <v>1.44029893144717E-062</v>
      </c>
      <c r="BX3" s="3" t="n">
        <v>5.13719892757909E-064</v>
      </c>
      <c r="BY3" s="3" t="n">
        <v>2.26333175357548E-064</v>
      </c>
      <c r="BZ3" s="169"/>
      <c r="CA3" s="169"/>
      <c r="CB3" s="169"/>
      <c r="CC3" s="169"/>
      <c r="CD3" s="169"/>
      <c r="CE3" s="169"/>
      <c r="CF3" s="169"/>
    </row>
    <row r="4" customFormat="false" ht="12.75" hidden="true" customHeight="false" outlineLevel="0" collapsed="false">
      <c r="A4" s="3" t="n">
        <v>5</v>
      </c>
      <c r="B4" s="3" t="n">
        <v>5.1</v>
      </c>
      <c r="C4" s="3" t="s">
        <v>312</v>
      </c>
      <c r="D4" s="3" t="s">
        <v>220</v>
      </c>
      <c r="E4" s="3" t="n">
        <v>0.00194223747303605</v>
      </c>
      <c r="F4" s="3" t="n">
        <v>0.000260079975297094</v>
      </c>
      <c r="G4" s="3" t="n">
        <v>1.20259777515587E-005</v>
      </c>
      <c r="H4" s="3" t="n">
        <v>0.00200647469040568</v>
      </c>
      <c r="I4" s="3" t="n">
        <v>0.000241358282215902</v>
      </c>
      <c r="J4" s="3" t="n">
        <v>0.00192156950413459</v>
      </c>
      <c r="K4" s="3" t="n">
        <v>0.00789641547536169</v>
      </c>
      <c r="L4" s="3" t="n">
        <v>1.31705472871681E-029</v>
      </c>
      <c r="M4" s="3" t="n">
        <v>0.0343087136666665</v>
      </c>
      <c r="N4" s="3" t="n">
        <v>0</v>
      </c>
      <c r="O4" s="3" t="n">
        <v>0.0132687005905799</v>
      </c>
      <c r="P4" s="3" t="n">
        <v>0</v>
      </c>
      <c r="Q4" s="3" t="n">
        <v>0.0303424809478271</v>
      </c>
      <c r="R4" s="3" t="n">
        <v>2.10728756594691E-028</v>
      </c>
      <c r="S4" s="3" t="n">
        <v>0.00697425732101518</v>
      </c>
      <c r="T4" s="3" t="n">
        <v>0</v>
      </c>
      <c r="U4" s="3" t="n">
        <v>0.0197637730318863</v>
      </c>
      <c r="V4" s="3" t="n">
        <v>0</v>
      </c>
      <c r="W4" s="3" t="n">
        <v>7.46937553557935E-008</v>
      </c>
      <c r="X4" s="3" t="n">
        <v>0.000135143816067751</v>
      </c>
      <c r="Y4" s="3" t="n">
        <v>1.11703102880437E-007</v>
      </c>
      <c r="Z4" s="3" t="n">
        <v>0.000444404819701414</v>
      </c>
      <c r="AA4" s="3" t="n">
        <v>5.79709342231886E-008</v>
      </c>
      <c r="AB4" s="3" t="n">
        <v>0.000210676723554222</v>
      </c>
      <c r="AC4" s="3" t="n">
        <v>0.000625643343739152</v>
      </c>
      <c r="AD4" s="3" t="n">
        <v>0.000824555841731818</v>
      </c>
      <c r="AE4" s="3" t="n">
        <v>8.01412166666636E-005</v>
      </c>
      <c r="AF4" s="3" t="n">
        <v>0.00217224215362317</v>
      </c>
      <c r="AG4" s="3" t="n">
        <v>3.34944338154301E-035</v>
      </c>
      <c r="AH4" s="3" t="n">
        <v>2.85640402253648E-008</v>
      </c>
      <c r="AI4" s="3" t="n">
        <v>0.000365043560644765</v>
      </c>
      <c r="AJ4" s="3" t="n">
        <v>0.000260079975297094</v>
      </c>
      <c r="AK4" s="3" t="n">
        <v>9.86696331521742E-009</v>
      </c>
      <c r="AL4" s="3" t="n">
        <v>4.98851168623192E-009</v>
      </c>
      <c r="AM4" s="3" t="n">
        <v>6.80822717391244E-009</v>
      </c>
      <c r="AN4" s="3" t="n">
        <v>0</v>
      </c>
      <c r="AO4" s="3" t="n">
        <v>0</v>
      </c>
      <c r="AP4" s="3" t="n">
        <v>0</v>
      </c>
      <c r="AQ4" s="3" t="n">
        <v>3.90112536614589E-013</v>
      </c>
      <c r="AR4" s="3" t="n">
        <v>1.4827515223892E-013</v>
      </c>
      <c r="AS4" s="3" t="n">
        <v>6.00039892853847E-013</v>
      </c>
      <c r="AT4" s="3" t="n">
        <v>4.38156340580995E-009</v>
      </c>
      <c r="AU4" s="3" t="n">
        <v>1.3719646695645E-007</v>
      </c>
      <c r="AV4" s="3" t="n">
        <v>2.93949847835471E-009</v>
      </c>
      <c r="AW4" s="3" t="n">
        <v>1.79111999709191E-007</v>
      </c>
      <c r="AX4" s="3" t="n">
        <v>2.72989384063769E-009</v>
      </c>
      <c r="AY4" s="3" t="n">
        <v>1.82257152174134E-007</v>
      </c>
      <c r="AZ4" s="3" t="n">
        <v>2.71509777903599E-008</v>
      </c>
      <c r="BA4" s="3" t="n">
        <v>1.06278332274228E-008</v>
      </c>
      <c r="BB4" s="3" t="n">
        <v>7.07266963089561E-008</v>
      </c>
      <c r="BC4" s="3" t="n">
        <v>4.42786246350091E-009</v>
      </c>
      <c r="BD4" s="3" t="n">
        <v>4.73584141994639E-008</v>
      </c>
      <c r="BE4" s="3" t="n">
        <v>1.56195495577959E-008</v>
      </c>
      <c r="BF4" s="3" t="n">
        <v>1.63692374172326E-005</v>
      </c>
      <c r="BG4" s="3" t="n">
        <v>3.78222129359027E-006</v>
      </c>
      <c r="BH4" s="3" t="n">
        <v>4.26430532018301E-005</v>
      </c>
      <c r="BI4" s="3" t="n">
        <v>1.55955024774648E-006</v>
      </c>
      <c r="BJ4" s="3" t="n">
        <v>2.85529074465015E-005</v>
      </c>
      <c r="BK4" s="3" t="n">
        <v>5.53731352010438E-006</v>
      </c>
      <c r="BL4" s="3" t="n">
        <v>4.32068155797101E-014</v>
      </c>
      <c r="BM4" s="3" t="n">
        <v>4.76177426086956E-014</v>
      </c>
      <c r="BN4" s="3" t="n">
        <v>4.60707440579709E-014</v>
      </c>
      <c r="BO4" s="3" t="n">
        <v>5.40710080434782E-014</v>
      </c>
      <c r="BP4" s="3" t="n">
        <v>6.98970466666666E-014</v>
      </c>
      <c r="BQ4" s="3" t="n">
        <v>4.72459460144927E-014</v>
      </c>
      <c r="BR4" s="3" t="n">
        <v>3.44964031884058E-014</v>
      </c>
      <c r="BS4" s="3" t="n">
        <v>7.25805321534468E-063</v>
      </c>
      <c r="BT4" s="3" t="n">
        <v>4.21378273353781E-063</v>
      </c>
      <c r="BU4" s="3" t="n">
        <v>1.87596195428976E-063</v>
      </c>
      <c r="BV4" s="3" t="n">
        <v>1.56023394748405E-063</v>
      </c>
      <c r="BW4" s="3" t="n">
        <v>1.60985809950648E-062</v>
      </c>
      <c r="BX4" s="3" t="n">
        <v>8.3964886600279E-064</v>
      </c>
      <c r="BY4" s="3" t="n">
        <v>1.80092257731443E-064</v>
      </c>
      <c r="BZ4" s="169"/>
      <c r="CA4" s="169"/>
      <c r="CB4" s="169"/>
      <c r="CC4" s="169"/>
      <c r="CD4" s="169"/>
      <c r="CE4" s="169"/>
      <c r="CF4" s="169"/>
    </row>
    <row r="5" customFormat="false" ht="12.75" hidden="true" customHeight="false" outlineLevel="0" collapsed="false">
      <c r="A5" s="3" t="n">
        <v>5</v>
      </c>
      <c r="B5" s="3" t="n">
        <v>5.2</v>
      </c>
      <c r="C5" s="3" t="s">
        <v>313</v>
      </c>
      <c r="D5" s="3" t="s">
        <v>220</v>
      </c>
      <c r="E5" s="3" t="n">
        <v>0.0637339426458798</v>
      </c>
      <c r="F5" s="3" t="n">
        <v>0.0675405976347853</v>
      </c>
      <c r="G5" s="3" t="n">
        <v>0.0961165984654031</v>
      </c>
      <c r="H5" s="3" t="n">
        <v>0.00109892650327543</v>
      </c>
      <c r="I5" s="168" t="n">
        <v>0.00430427206793003</v>
      </c>
      <c r="J5" s="3" t="n">
        <v>0.00486835627047185</v>
      </c>
      <c r="K5" s="3" t="n">
        <v>0.0058989625210157</v>
      </c>
      <c r="L5" s="3" t="n">
        <v>1.31705472871681E-029</v>
      </c>
      <c r="M5" s="3" t="n">
        <v>0.012208924278262</v>
      </c>
      <c r="N5" s="3" t="n">
        <v>0</v>
      </c>
      <c r="O5" s="168" t="n">
        <v>0.00596239133913012</v>
      </c>
      <c r="P5" s="3" t="n">
        <v>0</v>
      </c>
      <c r="Q5" s="3" t="n">
        <v>0.0181895674195685</v>
      </c>
      <c r="R5" s="3" t="n">
        <v>2.10728756594691E-028</v>
      </c>
      <c r="S5" s="3" t="n">
        <v>0.00676521772753551</v>
      </c>
      <c r="T5" s="168" t="n">
        <v>0</v>
      </c>
      <c r="U5" s="3" t="n">
        <v>0.025646187042753</v>
      </c>
      <c r="V5" s="168" t="n">
        <v>0</v>
      </c>
      <c r="W5" s="3" t="n">
        <v>5.3956303164927E-007</v>
      </c>
      <c r="X5" s="168" t="n">
        <v>0.00819643579407619</v>
      </c>
      <c r="Y5" s="3" t="n">
        <v>3.82985526791313E-007</v>
      </c>
      <c r="Z5" s="3" t="n">
        <v>0.000541275398275523</v>
      </c>
      <c r="AA5" s="3" t="n">
        <v>7.60927517101512E-008</v>
      </c>
      <c r="AB5" s="3" t="n">
        <v>0.000199314988979079</v>
      </c>
      <c r="AC5" s="3" t="n">
        <v>0.0195546008927525</v>
      </c>
      <c r="AD5" s="168" t="n">
        <v>0.0142262084492757</v>
      </c>
      <c r="AE5" s="168" t="n">
        <v>0.000120266305014495</v>
      </c>
      <c r="AF5" s="3" t="n">
        <v>0.000795848414492731</v>
      </c>
      <c r="AG5" s="3" t="n">
        <v>9.04349713016615E-034</v>
      </c>
      <c r="AH5" s="168" t="n">
        <v>8.30313389797084E-006</v>
      </c>
      <c r="AI5" s="168" t="n">
        <v>0.00420991472902515</v>
      </c>
      <c r="AJ5" s="168" t="n">
        <v>0.0675405976347853</v>
      </c>
      <c r="AK5" s="3" t="n">
        <v>1.23372862318335E-007</v>
      </c>
      <c r="AL5" s="3" t="n">
        <v>4.07535188404941E-007</v>
      </c>
      <c r="AM5" s="3" t="n">
        <v>1.11919239130742E-007</v>
      </c>
      <c r="AN5" s="168" t="n">
        <v>1.98423593384779E-005</v>
      </c>
      <c r="AO5" s="168" t="n">
        <v>9.16467869797076E-006</v>
      </c>
      <c r="AP5" s="168" t="n">
        <v>9.50694252956538E-006</v>
      </c>
      <c r="AQ5" s="168" t="n">
        <v>0.0117223321222537</v>
      </c>
      <c r="AR5" s="168" t="n">
        <v>0.00529283064364503</v>
      </c>
      <c r="AS5" s="168" t="n">
        <v>0.00557573451104362</v>
      </c>
      <c r="AT5" s="168" t="n">
        <v>7.90871644914354E-009</v>
      </c>
      <c r="AU5" s="168" t="n">
        <v>3.56220787715178E-005</v>
      </c>
      <c r="AV5" s="168" t="n">
        <v>6.81270079704864E-009</v>
      </c>
      <c r="AW5" s="168" t="n">
        <v>1.59385451123283E-006</v>
      </c>
      <c r="AX5" s="168" t="n">
        <v>5.4562589492254E-008</v>
      </c>
      <c r="AY5" s="168" t="n">
        <v>2.95264870949127E-006</v>
      </c>
      <c r="AZ5" s="168" t="n">
        <v>2.10550881700686E-007</v>
      </c>
      <c r="BA5" s="168" t="n">
        <v>1.17957711716273E-007</v>
      </c>
      <c r="BB5" s="168" t="n">
        <v>1.12415406143819E-007</v>
      </c>
      <c r="BC5" s="3" t="n">
        <v>2.42918437011544E-007</v>
      </c>
      <c r="BD5" s="3" t="n">
        <v>1.15451832050512E-005</v>
      </c>
      <c r="BE5" s="3" t="n">
        <v>1.51101777842099E-005</v>
      </c>
      <c r="BF5" s="3" t="n">
        <v>0.000126130718534227</v>
      </c>
      <c r="BG5" s="3" t="n">
        <v>4.59563111446586E-005</v>
      </c>
      <c r="BH5" s="3" t="n">
        <v>6.74377436479478E-005</v>
      </c>
      <c r="BI5" s="168" t="n">
        <v>9.0565286751832E-005</v>
      </c>
      <c r="BJ5" s="168" t="n">
        <v>0.00689177744187666</v>
      </c>
      <c r="BK5" s="168" t="n">
        <v>0.00523828780711878</v>
      </c>
      <c r="BL5" s="168" t="n">
        <v>1.06047738405496E-008</v>
      </c>
      <c r="BM5" s="168" t="n">
        <v>5.27853468010869E-011</v>
      </c>
      <c r="BN5" s="168" t="n">
        <v>7.27833286144926E-012</v>
      </c>
      <c r="BO5" s="168" t="n">
        <v>5.24216145210145E-012</v>
      </c>
      <c r="BP5" s="168" t="n">
        <v>0.0129737110922332</v>
      </c>
      <c r="BQ5" s="168" t="n">
        <v>5.48459694427536E-012</v>
      </c>
      <c r="BR5" s="168" t="n">
        <v>1.42088977715217E-011</v>
      </c>
      <c r="BS5" s="168" t="n">
        <v>5.26123912149235E-007</v>
      </c>
      <c r="BT5" s="168" t="n">
        <v>2.39981104288959E-056</v>
      </c>
      <c r="BU5" s="168" t="n">
        <v>1.90038106630657E-058</v>
      </c>
      <c r="BV5" s="168" t="n">
        <v>2.59170685926096E-059</v>
      </c>
      <c r="BW5" s="3" t="n">
        <v>1.4911668220296E-041</v>
      </c>
      <c r="BX5" s="3" t="n">
        <v>1.3262005725289E-058</v>
      </c>
      <c r="BY5" s="3" t="n">
        <v>8.67047138479746E-057</v>
      </c>
      <c r="BZ5" s="169"/>
      <c r="CA5" s="169"/>
      <c r="CB5" s="169"/>
      <c r="CC5" s="169"/>
      <c r="CD5" s="169"/>
      <c r="CE5" s="169"/>
      <c r="CF5" s="169"/>
    </row>
    <row r="6" customFormat="false" ht="12.75" hidden="true" customHeight="false" outlineLevel="0" collapsed="false">
      <c r="A6" s="3" t="n">
        <v>5</v>
      </c>
      <c r="B6" s="3" t="n">
        <v>5.2</v>
      </c>
      <c r="C6" s="3" t="s">
        <v>314</v>
      </c>
      <c r="D6" s="3" t="s">
        <v>220</v>
      </c>
      <c r="E6" s="3" t="n">
        <v>0.0218302753115842</v>
      </c>
      <c r="F6" s="3" t="n">
        <v>0.0177190322173901</v>
      </c>
      <c r="G6" s="3" t="n">
        <v>0.0108756613515147</v>
      </c>
      <c r="H6" s="3" t="n">
        <v>0.00185766893854235</v>
      </c>
      <c r="I6" s="168" t="n">
        <v>0.00198641872238048</v>
      </c>
      <c r="J6" s="3" t="n">
        <v>0.0056414084835126</v>
      </c>
      <c r="K6" s="3" t="n">
        <v>0.0133428420753622</v>
      </c>
      <c r="L6" s="3" t="n">
        <v>1.75607297162242E-029</v>
      </c>
      <c r="M6" s="3" t="n">
        <v>0.0365961979014476</v>
      </c>
      <c r="N6" s="3" t="n">
        <v>0</v>
      </c>
      <c r="O6" s="168" t="n">
        <v>0.00822982521449146</v>
      </c>
      <c r="P6" s="3" t="n">
        <v>0</v>
      </c>
      <c r="Q6" s="3" t="n">
        <v>0.0201798977210146</v>
      </c>
      <c r="R6" s="3" t="n">
        <v>7.0242918864897E-029</v>
      </c>
      <c r="S6" s="3" t="n">
        <v>0.0088946798492772</v>
      </c>
      <c r="T6" s="168" t="n">
        <v>0</v>
      </c>
      <c r="U6" s="3" t="n">
        <v>0.0346124402543502</v>
      </c>
      <c r="V6" s="168" t="n">
        <v>0</v>
      </c>
      <c r="W6" s="3" t="n">
        <v>6.59112129847866E-008</v>
      </c>
      <c r="X6" s="168" t="n">
        <v>0.00320058775644248</v>
      </c>
      <c r="Y6" s="3" t="n">
        <v>9.7044050984788E-008</v>
      </c>
      <c r="Z6" s="3" t="n">
        <v>0.000719974401863599</v>
      </c>
      <c r="AA6" s="3" t="n">
        <v>9.48242701152279E-008</v>
      </c>
      <c r="AB6" s="3" t="n">
        <v>0.00017896445416121</v>
      </c>
      <c r="AC6" s="3" t="n">
        <v>0.00740088258260888</v>
      </c>
      <c r="AD6" s="168" t="n">
        <v>0.00535877449275387</v>
      </c>
      <c r="AE6" s="168" t="n">
        <v>8.28814069492804E-005</v>
      </c>
      <c r="AF6" s="3" t="n">
        <v>0.00233133726086956</v>
      </c>
      <c r="AG6" s="3" t="n">
        <v>1.03832744827833E-033</v>
      </c>
      <c r="AH6" s="168" t="n">
        <v>1.2955338567391E-006</v>
      </c>
      <c r="AI6" s="168" t="n">
        <v>0.000128057414837022</v>
      </c>
      <c r="AJ6" s="168" t="n">
        <v>0.0177190322173901</v>
      </c>
      <c r="AK6" s="3" t="n">
        <v>2.48079710145247E-008</v>
      </c>
      <c r="AL6" s="3" t="n">
        <v>1.91579710144852E-007</v>
      </c>
      <c r="AM6" s="3" t="n">
        <v>4.84392971017267E-008</v>
      </c>
      <c r="AN6" s="168" t="n">
        <v>1.58682029210158E-006</v>
      </c>
      <c r="AO6" s="168" t="n">
        <v>2.08145729152167E-006</v>
      </c>
      <c r="AP6" s="168" t="n">
        <v>3.76101690405797E-006</v>
      </c>
      <c r="AQ6" s="168" t="n">
        <v>0.000939700758927554</v>
      </c>
      <c r="AR6" s="168" t="n">
        <v>0.00119112227544921</v>
      </c>
      <c r="AS6" s="168" t="n">
        <v>0.00224255748729715</v>
      </c>
      <c r="AT6" s="168" t="n">
        <v>2.41489362313643E-009</v>
      </c>
      <c r="AU6" s="168" t="n">
        <v>4.71348839614518E-005</v>
      </c>
      <c r="AV6" s="168" t="n">
        <v>2.77041557974991E-009</v>
      </c>
      <c r="AW6" s="168" t="n">
        <v>6.01943427753424E-007</v>
      </c>
      <c r="AX6" s="168" t="n">
        <v>7.24038579708688E-009</v>
      </c>
      <c r="AY6" s="168" t="n">
        <v>5.55947422609126E-007</v>
      </c>
      <c r="AZ6" s="168" t="n">
        <v>2.22844024789817E-007</v>
      </c>
      <c r="BA6" s="168" t="n">
        <v>1.52841170205872E-007</v>
      </c>
      <c r="BB6" s="168" t="n">
        <v>1.62615733249546E-007</v>
      </c>
      <c r="BC6" s="3" t="n">
        <v>1.64552051029809E-007</v>
      </c>
      <c r="BD6" s="3" t="n">
        <v>1.14137329124445E-006</v>
      </c>
      <c r="BE6" s="3" t="n">
        <v>1.50039018536126E-006</v>
      </c>
      <c r="BF6" s="3" t="n">
        <v>0.000133238808955603</v>
      </c>
      <c r="BG6" s="3" t="n">
        <v>6.94586899806774E-005</v>
      </c>
      <c r="BH6" s="3" t="n">
        <v>9.73499328421465E-005</v>
      </c>
      <c r="BI6" s="168" t="n">
        <v>5.97024296568412E-005</v>
      </c>
      <c r="BJ6" s="168" t="n">
        <v>0.000681595897265833</v>
      </c>
      <c r="BK6" s="168" t="n">
        <v>0.000529348747646299</v>
      </c>
      <c r="BL6" s="168" t="n">
        <v>1.21756671738338E-008</v>
      </c>
      <c r="BM6" s="168" t="n">
        <v>9.93081964927541E-013</v>
      </c>
      <c r="BN6" s="168" t="n">
        <v>9.5333717101449E-013</v>
      </c>
      <c r="BO6" s="168" t="n">
        <v>2.85611705434782E-013</v>
      </c>
      <c r="BP6" s="168" t="n">
        <v>4.83386695652174E-013</v>
      </c>
      <c r="BQ6" s="168" t="n">
        <v>2.62016530434783E-014</v>
      </c>
      <c r="BR6" s="168" t="n">
        <v>1.69425164565216E-013</v>
      </c>
      <c r="BS6" s="168" t="n">
        <v>6.04036450255101E-007</v>
      </c>
      <c r="BT6" s="168" t="n">
        <v>6.32572550364915E-058</v>
      </c>
      <c r="BU6" s="168" t="n">
        <v>5.28196850684669E-059</v>
      </c>
      <c r="BV6" s="168" t="n">
        <v>4.52275018242919E-060</v>
      </c>
      <c r="BW6" s="3" t="n">
        <v>1.54468261904757E-059</v>
      </c>
      <c r="BX6" s="3" t="n">
        <v>9.72438265188158E-061</v>
      </c>
      <c r="BY6" s="3" t="n">
        <v>1.11237309529813E-058</v>
      </c>
      <c r="BZ6" s="169"/>
      <c r="CA6" s="169"/>
      <c r="CB6" s="169"/>
      <c r="CC6" s="169"/>
      <c r="CD6" s="169"/>
      <c r="CE6" s="169"/>
      <c r="CF6" s="169"/>
    </row>
    <row r="7" customFormat="false" ht="12.75" hidden="true" customHeight="false" outlineLevel="0" collapsed="false">
      <c r="A7" s="3" t="n">
        <v>5</v>
      </c>
      <c r="B7" s="3" t="n">
        <v>5.2</v>
      </c>
      <c r="C7" s="3" t="s">
        <v>315</v>
      </c>
      <c r="D7" s="3" t="s">
        <v>220</v>
      </c>
      <c r="E7" s="3" t="n">
        <v>0.00686286373981892</v>
      </c>
      <c r="F7" s="3" t="n">
        <v>0.00884403515362324</v>
      </c>
      <c r="G7" s="3" t="n">
        <v>0.00683156643320544</v>
      </c>
      <c r="H7" s="3" t="n">
        <v>0.00140645328068807</v>
      </c>
      <c r="I7" s="168" t="n">
        <v>0.00100820624767164</v>
      </c>
      <c r="J7" s="3" t="n">
        <v>0.00130871669957944</v>
      </c>
      <c r="K7" s="3" t="n">
        <v>0.00706490541449337</v>
      </c>
      <c r="L7" s="3" t="n">
        <v>1.31705472871681E-029</v>
      </c>
      <c r="M7" s="3" t="n">
        <v>0.0249538196282605</v>
      </c>
      <c r="N7" s="3" t="n">
        <v>0</v>
      </c>
      <c r="O7" s="168" t="n">
        <v>0.0109573193275341</v>
      </c>
      <c r="P7" s="3" t="n">
        <v>0</v>
      </c>
      <c r="Q7" s="3" t="n">
        <v>0.0325501723413044</v>
      </c>
      <c r="R7" s="3" t="n">
        <v>2.10728756594691E-028</v>
      </c>
      <c r="S7" s="3" t="n">
        <v>0.00782107446304216</v>
      </c>
      <c r="T7" s="3" t="n">
        <v>0</v>
      </c>
      <c r="U7" s="3" t="n">
        <v>0.0195105676405765</v>
      </c>
      <c r="V7" s="3" t="n">
        <v>0</v>
      </c>
      <c r="W7" s="3" t="n">
        <v>4.37981886949246E-008</v>
      </c>
      <c r="X7" s="168" t="n">
        <v>0.00248199323384864</v>
      </c>
      <c r="Y7" s="3" t="n">
        <v>3.84413085652142E-008</v>
      </c>
      <c r="Z7" s="3" t="n">
        <v>0.000662336164178646</v>
      </c>
      <c r="AA7" s="3" t="n">
        <v>7.3493461912322E-008</v>
      </c>
      <c r="AB7" s="3" t="n">
        <v>0.000200683613142618</v>
      </c>
      <c r="AC7" s="3" t="n">
        <v>0.00232225217318814</v>
      </c>
      <c r="AD7" s="168" t="n">
        <v>0.00466781450144879</v>
      </c>
      <c r="AE7" s="3" t="n">
        <v>0.000220129929673909</v>
      </c>
      <c r="AF7" s="3" t="n">
        <v>0.00160678163478258</v>
      </c>
      <c r="AG7" s="3" t="n">
        <v>5.35910941046883E-034</v>
      </c>
      <c r="AH7" s="3" t="n">
        <v>1.44299456862308E-006</v>
      </c>
      <c r="AI7" s="168" t="n">
        <v>0.000188270039197032</v>
      </c>
      <c r="AJ7" s="168" t="n">
        <v>0.00884403515362324</v>
      </c>
      <c r="AK7" s="3" t="n">
        <v>6.15902608696538E-008</v>
      </c>
      <c r="AL7" s="3" t="n">
        <v>1.21568927535986E-007</v>
      </c>
      <c r="AM7" s="3" t="n">
        <v>4.04321666669879E-008</v>
      </c>
      <c r="AN7" s="3" t="n">
        <v>8.22397325144914E-007</v>
      </c>
      <c r="AO7" s="3" t="n">
        <v>1.18643974543467E-006</v>
      </c>
      <c r="AP7" s="3" t="n">
        <v>1.57770568340574E-006</v>
      </c>
      <c r="AQ7" s="168" t="n">
        <v>0.000478682771413065</v>
      </c>
      <c r="AR7" s="3" t="n">
        <v>0.000681843080340591</v>
      </c>
      <c r="AS7" s="168" t="n">
        <v>0.000926639025014478</v>
      </c>
      <c r="AT7" s="3" t="n">
        <v>2.96197304341386E-009</v>
      </c>
      <c r="AU7" s="168" t="n">
        <v>5.00321848282489E-006</v>
      </c>
      <c r="AV7" s="3" t="n">
        <v>4.40660956526878E-009</v>
      </c>
      <c r="AW7" s="168" t="n">
        <v>4.78887520000111E-007</v>
      </c>
      <c r="AX7" s="168" t="n">
        <v>8.86364514484858E-009</v>
      </c>
      <c r="AY7" s="168" t="n">
        <v>4.65027472174069E-007</v>
      </c>
      <c r="AZ7" s="168" t="n">
        <v>2.2962870157374E-007</v>
      </c>
      <c r="BA7" s="3" t="n">
        <v>2.58696796829834E-007</v>
      </c>
      <c r="BB7" s="3" t="n">
        <v>1.99341686368554E-007</v>
      </c>
      <c r="BC7" s="3" t="n">
        <v>2.43290227369283E-007</v>
      </c>
      <c r="BD7" s="3" t="n">
        <v>2.24217299461119E-006</v>
      </c>
      <c r="BE7" s="3" t="n">
        <v>2.96125849571597E-006</v>
      </c>
      <c r="BF7" s="3" t="n">
        <v>0.000137630825494472</v>
      </c>
      <c r="BG7" s="3" t="n">
        <v>9.34884344860163E-005</v>
      </c>
      <c r="BH7" s="3" t="n">
        <v>0.000119118572148651</v>
      </c>
      <c r="BI7" s="168" t="n">
        <v>8.65806987068718E-005</v>
      </c>
      <c r="BJ7" s="168" t="n">
        <v>0.00133900961768152</v>
      </c>
      <c r="BK7" s="168" t="n">
        <v>0.00103217308320991</v>
      </c>
      <c r="BL7" s="168" t="n">
        <v>4.99140869581361E-009</v>
      </c>
      <c r="BM7" s="168" t="n">
        <v>6.6023767826087E-014</v>
      </c>
      <c r="BN7" s="168" t="n">
        <v>1.68866191231884E-013</v>
      </c>
      <c r="BO7" s="168" t="n">
        <v>5.19104590579711E-014</v>
      </c>
      <c r="BP7" s="3" t="n">
        <v>1.02877422536231E-013</v>
      </c>
      <c r="BQ7" s="3" t="n">
        <v>1.29975329565218E-013</v>
      </c>
      <c r="BR7" s="3" t="n">
        <v>4.62531303695649E-013</v>
      </c>
      <c r="BS7" s="3" t="n">
        <v>2.47619927354991E-007</v>
      </c>
      <c r="BT7" s="3" t="n">
        <v>4.4086095429784E-059</v>
      </c>
      <c r="BU7" s="3" t="n">
        <v>1.16469193006402E-059</v>
      </c>
      <c r="BV7" s="3" t="n">
        <v>9.44068375274879E-061</v>
      </c>
      <c r="BW7" s="3" t="n">
        <v>4.04309311701748E-060</v>
      </c>
      <c r="BX7" s="3" t="n">
        <v>4.99786085705747E-060</v>
      </c>
      <c r="BY7" s="3" t="n">
        <v>3.00906409704037E-058</v>
      </c>
      <c r="BZ7" s="169"/>
      <c r="CA7" s="169"/>
      <c r="CB7" s="169"/>
      <c r="CC7" s="169"/>
      <c r="CD7" s="169"/>
      <c r="CE7" s="169"/>
      <c r="CF7" s="169"/>
    </row>
    <row r="8" customFormat="false" ht="12.75" hidden="true" customHeight="false" outlineLevel="0" collapsed="false">
      <c r="A8" s="3" t="n">
        <v>5</v>
      </c>
      <c r="B8" s="3" t="n">
        <v>5.3</v>
      </c>
      <c r="C8" s="3" t="s">
        <v>316</v>
      </c>
      <c r="D8" s="3" t="s">
        <v>220</v>
      </c>
      <c r="E8" s="3" t="n">
        <v>0.155445152481285</v>
      </c>
      <c r="F8" s="168" t="n">
        <v>0.149372398539121</v>
      </c>
      <c r="G8" s="3" t="n">
        <v>0.215646922427156</v>
      </c>
      <c r="H8" s="3" t="n">
        <v>0.000451726349102843</v>
      </c>
      <c r="I8" s="168" t="n">
        <v>0.577420524172242</v>
      </c>
      <c r="J8" s="3" t="n">
        <v>0.589951623389863</v>
      </c>
      <c r="K8" s="3" t="n">
        <v>0.0074366371239132</v>
      </c>
      <c r="L8" s="3" t="n">
        <v>1.64631841089602E-029</v>
      </c>
      <c r="M8" s="3" t="n">
        <v>0.0179962605797066</v>
      </c>
      <c r="N8" s="3" t="n">
        <v>0</v>
      </c>
      <c r="O8" s="168" t="n">
        <v>0.00603591291304227</v>
      </c>
      <c r="P8" s="3" t="n">
        <v>0</v>
      </c>
      <c r="Q8" s="3" t="n">
        <v>0.0168474579239088</v>
      </c>
      <c r="R8" s="3" t="n">
        <v>2.10728756594691E-028</v>
      </c>
      <c r="S8" s="3" t="n">
        <v>0.00379909768623234</v>
      </c>
      <c r="T8" s="168" t="n">
        <v>0</v>
      </c>
      <c r="U8" s="168" t="n">
        <v>0.0169531457384069</v>
      </c>
      <c r="V8" s="168" t="n">
        <v>0</v>
      </c>
      <c r="W8" s="168" t="n">
        <v>6.91538197971056E-007</v>
      </c>
      <c r="X8" s="168" t="n">
        <v>0.000110933464803502</v>
      </c>
      <c r="Y8" s="168" t="n">
        <v>5.99702178478278E-007</v>
      </c>
      <c r="Z8" s="3" t="n">
        <v>0.000190543417324366</v>
      </c>
      <c r="AA8" s="168" t="n">
        <v>3.29484268521739E-008</v>
      </c>
      <c r="AB8" s="168" t="n">
        <v>0.000112443665936798</v>
      </c>
      <c r="AC8" s="3" t="n">
        <v>0.0565570850434784</v>
      </c>
      <c r="AD8" s="168" t="n">
        <v>0.030311078868841</v>
      </c>
      <c r="AE8" s="168" t="n">
        <v>8.08676069275333E-005</v>
      </c>
      <c r="AF8" s="168" t="n">
        <v>0.00125899835362316</v>
      </c>
      <c r="AG8" s="168" t="n">
        <v>5.89502035151571E-033</v>
      </c>
      <c r="AH8" s="168" t="n">
        <v>1.04129925593472E-005</v>
      </c>
      <c r="AI8" s="168" t="n">
        <v>0.000112644614409422</v>
      </c>
      <c r="AJ8" s="168" t="n">
        <v>0.149372398539121</v>
      </c>
      <c r="AK8" s="3" t="n">
        <v>2.77947158695586E-006</v>
      </c>
      <c r="AL8" s="3" t="n">
        <v>1.28377623188457E-007</v>
      </c>
      <c r="AM8" s="3" t="n">
        <v>1.83080318840158E-007</v>
      </c>
      <c r="AN8" s="168" t="n">
        <v>3.03862988510146E-005</v>
      </c>
      <c r="AO8" s="168" t="n">
        <v>3.57016084657972E-005</v>
      </c>
      <c r="AP8" s="168" t="n">
        <v>2.53165319104347E-005</v>
      </c>
      <c r="AQ8" s="168" t="n">
        <v>0.0172284320387754</v>
      </c>
      <c r="AR8" s="168" t="n">
        <v>0.0209851307376742</v>
      </c>
      <c r="AS8" s="168" t="n">
        <v>0.014837654176087</v>
      </c>
      <c r="AT8" s="168" t="n">
        <v>2.89631440581486E-008</v>
      </c>
      <c r="AU8" s="168" t="n">
        <v>2.03514597101156E-007</v>
      </c>
      <c r="AV8" s="168" t="n">
        <v>6.0836962319573E-009</v>
      </c>
      <c r="AW8" s="168" t="n">
        <v>1.31370701731982E-006</v>
      </c>
      <c r="AX8" s="168" t="n">
        <v>2.95928825666654E-005</v>
      </c>
      <c r="AY8" s="168" t="n">
        <v>5.18861328347578E-006</v>
      </c>
      <c r="AZ8" s="168" t="n">
        <v>9.59515260998727E-007</v>
      </c>
      <c r="BA8" s="168" t="n">
        <v>4.80622700255091E-007</v>
      </c>
      <c r="BB8" s="168" t="n">
        <v>1.59215337576889E-007</v>
      </c>
      <c r="BC8" s="168" t="n">
        <v>1.3337419265855E-007</v>
      </c>
      <c r="BD8" s="168" t="n">
        <v>6.91841832328219E-005</v>
      </c>
      <c r="BE8" s="168" t="n">
        <v>0.000110543823839538</v>
      </c>
      <c r="BF8" s="168" t="n">
        <v>0.00055421690264598</v>
      </c>
      <c r="BG8" s="168" t="n">
        <v>0.000174777663088432</v>
      </c>
      <c r="BH8" s="168" t="n">
        <v>9.35190647505346E-005</v>
      </c>
      <c r="BI8" s="168" t="n">
        <v>6.78627182146105E-005</v>
      </c>
      <c r="BJ8" s="168" t="n">
        <v>0.0412455019726461</v>
      </c>
      <c r="BK8" s="168" t="n">
        <v>0.036304130675783</v>
      </c>
      <c r="BL8" s="168" t="n">
        <v>1.3735671644935E-007</v>
      </c>
      <c r="BM8" s="168" t="n">
        <v>1.12481249275158E-008</v>
      </c>
      <c r="BN8" s="168" t="n">
        <v>1.67995730433044E-008</v>
      </c>
      <c r="BO8" s="168" t="n">
        <v>7.58491007965849E-008</v>
      </c>
      <c r="BP8" s="168" t="n">
        <v>6.00848568178478E-010</v>
      </c>
      <c r="BQ8" s="168" t="n">
        <v>4.45325428238188E-010</v>
      </c>
      <c r="BR8" s="168" t="n">
        <v>2.20308510707753E-010</v>
      </c>
      <c r="BS8" s="168" t="n">
        <v>6.76233988670075E-006</v>
      </c>
      <c r="BT8" s="168" t="n">
        <v>5.51330533113713E-007</v>
      </c>
      <c r="BU8" s="168" t="n">
        <v>8.36762121275673E-007</v>
      </c>
      <c r="BV8" s="168" t="n">
        <v>3.44958547229844E-006</v>
      </c>
      <c r="BW8" s="3" t="n">
        <v>1.70376222549372E-054</v>
      </c>
      <c r="BX8" s="3" t="n">
        <v>8.91159145441623E-055</v>
      </c>
      <c r="BY8" s="3" t="n">
        <v>6.13351605568706E-055</v>
      </c>
      <c r="BZ8" s="169"/>
      <c r="CA8" s="169"/>
      <c r="CB8" s="169"/>
      <c r="CC8" s="169"/>
      <c r="CD8" s="169"/>
      <c r="CE8" s="169"/>
      <c r="CF8" s="169"/>
    </row>
    <row r="9" customFormat="false" ht="12.75" hidden="true" customHeight="false" outlineLevel="0" collapsed="false">
      <c r="A9" s="3" t="n">
        <v>5</v>
      </c>
      <c r="B9" s="3" t="n">
        <v>5.3</v>
      </c>
      <c r="C9" s="3" t="s">
        <v>317</v>
      </c>
      <c r="D9" s="3" t="s">
        <v>220</v>
      </c>
      <c r="E9" s="3" t="n">
        <v>0.0173947964046936</v>
      </c>
      <c r="F9" s="168" t="n">
        <v>0.0178465366840524</v>
      </c>
      <c r="G9" s="3" t="n">
        <v>0.027542009542043</v>
      </c>
      <c r="H9" s="3" t="n">
        <v>0.000607752189037098</v>
      </c>
      <c r="I9" s="168" t="n">
        <v>0.063525588830373</v>
      </c>
      <c r="J9" s="3" t="n">
        <v>0.0617031580542337</v>
      </c>
      <c r="K9" s="3" t="n">
        <v>0.00967794646884041</v>
      </c>
      <c r="L9" s="3" t="n">
        <v>1.31705472871681E-029</v>
      </c>
      <c r="M9" s="3" t="n">
        <v>0.0246516285188389</v>
      </c>
      <c r="N9" s="3" t="n">
        <v>0</v>
      </c>
      <c r="O9" s="168" t="n">
        <v>0.00672210773043614</v>
      </c>
      <c r="P9" s="3" t="n">
        <v>0</v>
      </c>
      <c r="Q9" s="3" t="n">
        <v>0.0173120689905782</v>
      </c>
      <c r="R9" s="3" t="n">
        <v>2.10728756594691E-028</v>
      </c>
      <c r="S9" s="3" t="n">
        <v>0.00540835485144924</v>
      </c>
      <c r="T9" s="168" t="n">
        <v>0</v>
      </c>
      <c r="U9" s="168" t="n">
        <v>0.0235030682521719</v>
      </c>
      <c r="V9" s="168" t="n">
        <v>0</v>
      </c>
      <c r="W9" s="168" t="n">
        <v>2.81279059058002E-007</v>
      </c>
      <c r="X9" s="168" t="n">
        <v>0.00010941082638008</v>
      </c>
      <c r="Y9" s="168" t="n">
        <v>1.44353532753569E-007</v>
      </c>
      <c r="Z9" s="168" t="n">
        <v>0.000186480126986348</v>
      </c>
      <c r="AA9" s="168" t="n">
        <v>4.72084145152152E-008</v>
      </c>
      <c r="AB9" s="168" t="n">
        <v>0.000133972297480259</v>
      </c>
      <c r="AC9" s="3" t="n">
        <v>0.0145400313623179</v>
      </c>
      <c r="AD9" s="168" t="n">
        <v>0.00230431877608814</v>
      </c>
      <c r="AE9" s="168" t="n">
        <v>6.63477429492737E-005</v>
      </c>
      <c r="AF9" s="168" t="n">
        <v>0.00161539412101457</v>
      </c>
      <c r="AG9" s="168" t="n">
        <v>9.11048599779701E-033</v>
      </c>
      <c r="AH9" s="168" t="n">
        <v>3.80587364144931E-006</v>
      </c>
      <c r="AI9" s="168" t="n">
        <v>5.12214867223833E-005</v>
      </c>
      <c r="AJ9" s="168" t="n">
        <v>0.0178465366840524</v>
      </c>
      <c r="AK9" s="3" t="n">
        <v>4.8624013623215E-006</v>
      </c>
      <c r="AL9" s="3" t="n">
        <v>5.27926884058089E-008</v>
      </c>
      <c r="AM9" s="3" t="n">
        <v>5.83205797104465E-008</v>
      </c>
      <c r="AN9" s="168" t="n">
        <v>6.3554767153621E-006</v>
      </c>
      <c r="AO9" s="168" t="n">
        <v>3.2922608901451E-006</v>
      </c>
      <c r="AP9" s="168" t="n">
        <v>8.42951180144917E-006</v>
      </c>
      <c r="AQ9" s="168" t="n">
        <v>0.00339385089489131</v>
      </c>
      <c r="AR9" s="168" t="n">
        <v>0.001922276043413</v>
      </c>
      <c r="AS9" s="168" t="n">
        <v>0.00494069063616682</v>
      </c>
      <c r="AT9" s="168" t="n">
        <v>1.86226775364435E-009</v>
      </c>
      <c r="AU9" s="168" t="n">
        <v>5.22978843404519E-007</v>
      </c>
      <c r="AV9" s="168" t="n">
        <v>3.21033557976198E-009</v>
      </c>
      <c r="AW9" s="168" t="n">
        <v>1.16567724521786E-006</v>
      </c>
      <c r="AX9" s="168" t="n">
        <v>1.77076917697846E-005</v>
      </c>
      <c r="AY9" s="168" t="n">
        <v>8.2207215123218E-007</v>
      </c>
      <c r="AZ9" s="168" t="n">
        <v>2.02104175752204E-007</v>
      </c>
      <c r="BA9" s="168" t="n">
        <v>1.27067510662099E-007</v>
      </c>
      <c r="BB9" s="168" t="n">
        <v>7.25254281098367E-007</v>
      </c>
      <c r="BC9" s="168" t="n">
        <v>1.47230517568886E-007</v>
      </c>
      <c r="BD9" s="168" t="n">
        <v>1.28528167238561E-005</v>
      </c>
      <c r="BE9" s="168" t="n">
        <v>1.91490718413097E-005</v>
      </c>
      <c r="BF9" s="168" t="n">
        <v>0.000119770504603059</v>
      </c>
      <c r="BG9" s="168" t="n">
        <v>5.53851740276971E-005</v>
      </c>
      <c r="BH9" s="168" t="n">
        <v>0.000429383280345374</v>
      </c>
      <c r="BI9" s="168" t="n">
        <v>6.76097504595239E-005</v>
      </c>
      <c r="BJ9" s="168" t="n">
        <v>0.00734487861647302</v>
      </c>
      <c r="BK9" s="168" t="n">
        <v>0.00639356726047853</v>
      </c>
      <c r="BL9" s="168" t="n">
        <v>3.3725777391668E-008</v>
      </c>
      <c r="BM9" s="168" t="n">
        <v>4.95031043485869E-009</v>
      </c>
      <c r="BN9" s="168" t="n">
        <v>1.18793539128602E-008</v>
      </c>
      <c r="BO9" s="168" t="n">
        <v>5.39968927543189E-009</v>
      </c>
      <c r="BP9" s="168" t="n">
        <v>9.17637751953623E-011</v>
      </c>
      <c r="BQ9" s="168" t="n">
        <v>3.268942375E-012</v>
      </c>
      <c r="BR9" s="168" t="n">
        <v>7.98248645500002E-012</v>
      </c>
      <c r="BS9" s="168" t="n">
        <v>1.66056697774843E-006</v>
      </c>
      <c r="BT9" s="168" t="n">
        <v>2.42650906352549E-007</v>
      </c>
      <c r="BU9" s="168" t="n">
        <v>5.91706890891751E-007</v>
      </c>
      <c r="BV9" s="168" t="n">
        <v>2.4559194976062E-007</v>
      </c>
      <c r="BW9" s="3" t="n">
        <v>1.39291153576467E-055</v>
      </c>
      <c r="BX9" s="3" t="n">
        <v>1.02014896452555E-056</v>
      </c>
      <c r="BY9" s="3" t="n">
        <v>2.64129647116196E-056</v>
      </c>
      <c r="BZ9" s="169"/>
      <c r="CA9" s="169"/>
      <c r="CB9" s="169"/>
      <c r="CC9" s="169"/>
      <c r="CD9" s="169"/>
      <c r="CE9" s="169"/>
      <c r="CF9" s="169"/>
    </row>
    <row r="10" customFormat="false" ht="12.75" hidden="true" customHeight="false" outlineLevel="0" collapsed="false">
      <c r="A10" s="3" t="n">
        <v>5</v>
      </c>
      <c r="B10" s="3" t="n">
        <v>5.3</v>
      </c>
      <c r="C10" s="3" t="s">
        <v>318</v>
      </c>
      <c r="D10" s="3" t="s">
        <v>220</v>
      </c>
      <c r="E10" s="3" t="n">
        <v>0.0435416386418918</v>
      </c>
      <c r="F10" s="168" t="n">
        <v>0.0369595701884084</v>
      </c>
      <c r="G10" s="3" t="n">
        <v>0.0507109109172716</v>
      </c>
      <c r="H10" s="3" t="n">
        <v>0.000938877094367366</v>
      </c>
      <c r="I10" s="168" t="n">
        <v>0.00585463203971571</v>
      </c>
      <c r="J10" s="3" t="n">
        <v>0.00495143193258425</v>
      </c>
      <c r="K10" s="3" t="n">
        <v>0.00678906418260862</v>
      </c>
      <c r="L10" s="3" t="n">
        <v>1.48168656980642E-029</v>
      </c>
      <c r="M10" s="3" t="n">
        <v>0.0186996455239127</v>
      </c>
      <c r="N10" s="3" t="n">
        <v>0</v>
      </c>
      <c r="O10" s="168" t="n">
        <v>0.00637572619130568</v>
      </c>
      <c r="P10" s="3" t="n">
        <v>0</v>
      </c>
      <c r="Q10" s="3" t="n">
        <v>0.0198771812804364</v>
      </c>
      <c r="R10" s="3" t="n">
        <v>0</v>
      </c>
      <c r="S10" s="3" t="n">
        <v>0.00739165886884146</v>
      </c>
      <c r="T10" s="168" t="n">
        <v>0</v>
      </c>
      <c r="U10" s="168" t="n">
        <v>0.0230828607391283</v>
      </c>
      <c r="V10" s="168" t="n">
        <v>0</v>
      </c>
      <c r="W10" s="168" t="n">
        <v>3.35102996449278E-007</v>
      </c>
      <c r="X10" s="168" t="n">
        <v>7.99060519651219E-005</v>
      </c>
      <c r="Y10" s="168" t="n">
        <v>2.60761340797085E-007</v>
      </c>
      <c r="Z10" s="168" t="n">
        <v>0.000105818398970934</v>
      </c>
      <c r="AA10" s="168" t="n">
        <v>6.78838660492762E-008</v>
      </c>
      <c r="AB10" s="168" t="n">
        <v>8.92401563139593E-005</v>
      </c>
      <c r="AC10" s="3" t="n">
        <v>0.00705089204565188</v>
      </c>
      <c r="AD10" s="168" t="n">
        <v>0.0183526160514501</v>
      </c>
      <c r="AE10" s="168" t="n">
        <v>3.66860421956471E-005</v>
      </c>
      <c r="AF10" s="168" t="n">
        <v>0.00123950571304366</v>
      </c>
      <c r="AG10" s="168" t="n">
        <v>1.28618625851251E-032</v>
      </c>
      <c r="AH10" s="168" t="n">
        <v>4.83163491065203E-006</v>
      </c>
      <c r="AI10" s="168" t="n">
        <v>3.66338121644664E-005</v>
      </c>
      <c r="AJ10" s="168" t="n">
        <v>0.0369595701884084</v>
      </c>
      <c r="AK10" s="3" t="n">
        <v>8.7709744927506E-006</v>
      </c>
      <c r="AL10" s="3" t="n">
        <v>2.53828630434211E-007</v>
      </c>
      <c r="AM10" s="3" t="n">
        <v>4.30987536229925E-008</v>
      </c>
      <c r="AN10" s="168" t="n">
        <v>3.00696388514492E-006</v>
      </c>
      <c r="AO10" s="168" t="n">
        <v>6.41623113826086E-006</v>
      </c>
      <c r="AP10" s="168" t="n">
        <v>4.25188592978267E-006</v>
      </c>
      <c r="AQ10" s="168" t="n">
        <v>0.00147974289089128</v>
      </c>
      <c r="AR10" s="168" t="n">
        <v>0.00371692408913048</v>
      </c>
      <c r="AS10" s="168" t="n">
        <v>0.0024873061365145</v>
      </c>
      <c r="AT10" s="168" t="n">
        <v>1.7934590579147E-009</v>
      </c>
      <c r="AU10" s="168" t="n">
        <v>1.80510986013775E-007</v>
      </c>
      <c r="AV10" s="168" t="n">
        <v>3.72565101453841E-009</v>
      </c>
      <c r="AW10" s="168" t="n">
        <v>9.37453111622971E-006</v>
      </c>
      <c r="AX10" s="168" t="n">
        <v>2.86765358840325E-007</v>
      </c>
      <c r="AY10" s="168" t="n">
        <v>2.5615357214507E-006</v>
      </c>
      <c r="AZ10" s="168" t="n">
        <v>2.70478321955666E-007</v>
      </c>
      <c r="BA10" s="168" t="n">
        <v>1.36648903634016E-007</v>
      </c>
      <c r="BB10" s="168" t="n">
        <v>2.2120907648453E-007</v>
      </c>
      <c r="BC10" s="168" t="n">
        <v>3.93725830892373E-007</v>
      </c>
      <c r="BD10" s="168" t="n">
        <v>3.78375015040512E-005</v>
      </c>
      <c r="BE10" s="168" t="n">
        <v>6.22905802017554E-005</v>
      </c>
      <c r="BF10" s="168" t="n">
        <v>0.000159181489233854</v>
      </c>
      <c r="BG10" s="168" t="n">
        <v>4.88932018124924E-005</v>
      </c>
      <c r="BH10" s="168" t="n">
        <v>0.000130521103849557</v>
      </c>
      <c r="BI10" s="168" t="n">
        <v>0.000291659468545403</v>
      </c>
      <c r="BJ10" s="168" t="n">
        <v>0.0221181326216458</v>
      </c>
      <c r="BK10" s="168" t="n">
        <v>0.0203292567993895</v>
      </c>
      <c r="BL10" s="168" t="n">
        <v>8.71212521732268E-009</v>
      </c>
      <c r="BM10" s="168" t="n">
        <v>3.23077210153194E-009</v>
      </c>
      <c r="BN10" s="168" t="n">
        <v>5.02345499989961E-009</v>
      </c>
      <c r="BO10" s="168" t="n">
        <v>4.35382775387523E-009</v>
      </c>
      <c r="BP10" s="168" t="n">
        <v>4.16669243539057E-010</v>
      </c>
      <c r="BQ10" s="168" t="n">
        <v>3.77478728340578E-012</v>
      </c>
      <c r="BR10" s="168" t="n">
        <v>6.11839931297101E-012</v>
      </c>
      <c r="BS10" s="168" t="n">
        <v>4.28993350564651E-007</v>
      </c>
      <c r="BT10" s="168" t="n">
        <v>1.58363519103902E-007</v>
      </c>
      <c r="BU10" s="168" t="n">
        <v>2.5022074852636E-007</v>
      </c>
      <c r="BV10" s="168" t="n">
        <v>1.98025640287278E-007</v>
      </c>
      <c r="BW10" s="3" t="n">
        <v>5.84668094603807E-055</v>
      </c>
      <c r="BX10" s="3" t="n">
        <v>1.19885141852883E-056</v>
      </c>
      <c r="BY10" s="3" t="n">
        <v>1.84946667377796E-056</v>
      </c>
      <c r="BZ10" s="169"/>
      <c r="CA10" s="169"/>
      <c r="CB10" s="169"/>
      <c r="CC10" s="169"/>
      <c r="CD10" s="169"/>
      <c r="CE10" s="169"/>
      <c r="CF10" s="169"/>
    </row>
    <row r="11" customFormat="false" ht="12.75" hidden="true" customHeight="false" outlineLevel="0" collapsed="false">
      <c r="A11" s="3" t="n">
        <v>5</v>
      </c>
      <c r="B11" s="3" t="n">
        <v>5.4</v>
      </c>
      <c r="C11" s="3" t="s">
        <v>319</v>
      </c>
      <c r="D11" s="3" t="s">
        <v>220</v>
      </c>
      <c r="E11" s="3" t="n">
        <v>1.87780943330422</v>
      </c>
      <c r="F11" s="168" t="n">
        <v>1.82368646464279</v>
      </c>
      <c r="G11" s="3" t="n">
        <v>0.0622992386989497</v>
      </c>
      <c r="H11" s="3" t="n">
        <v>0.000666976420342809</v>
      </c>
      <c r="I11" s="3" t="n">
        <v>2.47796849767311</v>
      </c>
      <c r="J11" s="3" t="n">
        <v>2.53893671750506</v>
      </c>
      <c r="K11" s="3" t="n">
        <v>0.00486679739057926</v>
      </c>
      <c r="L11" s="3" t="n">
        <v>1.48168656980642E-029</v>
      </c>
      <c r="M11" s="3" t="n">
        <v>0.0201067257384021</v>
      </c>
      <c r="N11" s="3" t="n">
        <v>0</v>
      </c>
      <c r="O11" s="168" t="n">
        <v>0.00866621220579749</v>
      </c>
      <c r="P11" s="3" t="n">
        <v>0</v>
      </c>
      <c r="Q11" s="3" t="n">
        <v>0.0231041049478253</v>
      </c>
      <c r="R11" s="3" t="n">
        <v>2.10728756594691E-028</v>
      </c>
      <c r="S11" s="168" t="n">
        <v>0.00531121352753516</v>
      </c>
      <c r="T11" s="168" t="n">
        <v>0</v>
      </c>
      <c r="U11" s="168" t="n">
        <v>0.0133281258057977</v>
      </c>
      <c r="V11" s="168" t="n">
        <v>0</v>
      </c>
      <c r="W11" s="3" t="n">
        <v>5.45576404340562E-006</v>
      </c>
      <c r="X11" s="168" t="n">
        <v>0.000385362098885947</v>
      </c>
      <c r="Y11" s="3" t="n">
        <v>5.92975362253639E-006</v>
      </c>
      <c r="Z11" s="168" t="n">
        <v>0.000113815045304646</v>
      </c>
      <c r="AA11" s="168" t="n">
        <v>3.34664156144936E-008</v>
      </c>
      <c r="AB11" s="3" t="n">
        <v>0.000177373230843497</v>
      </c>
      <c r="AC11" s="3" t="n">
        <v>0.408927303790575</v>
      </c>
      <c r="AD11" s="168" t="n">
        <v>0.554379054895658</v>
      </c>
      <c r="AE11" s="168" t="n">
        <v>5.72719333840559E-005</v>
      </c>
      <c r="AF11" s="3" t="n">
        <v>0.00162591439710122</v>
      </c>
      <c r="AG11" s="168" t="n">
        <v>1.87568829366409E-032</v>
      </c>
      <c r="AH11" s="168" t="n">
        <v>8.32715994254387E-005</v>
      </c>
      <c r="AI11" s="168" t="n">
        <v>0.000461922872818462</v>
      </c>
      <c r="AJ11" s="168" t="n">
        <v>1.82368646464279</v>
      </c>
      <c r="AK11" s="3" t="n">
        <v>3.5610030144938E-006</v>
      </c>
      <c r="AL11" s="3" t="n">
        <v>7.00655579705181E-008</v>
      </c>
      <c r="AM11" s="3" t="n">
        <v>5.13129275361644E-008</v>
      </c>
      <c r="AN11" s="168" t="n">
        <v>1.49936695684057E-005</v>
      </c>
      <c r="AO11" s="168" t="n">
        <v>1.8191789534782E-005</v>
      </c>
      <c r="AP11" s="168" t="n">
        <v>1.58873960155796E-005</v>
      </c>
      <c r="AQ11" s="168" t="n">
        <v>0.00840308771695657</v>
      </c>
      <c r="AR11" s="168" t="n">
        <v>0.0106108744590144</v>
      </c>
      <c r="AS11" s="168" t="n">
        <v>0.00927201184252186</v>
      </c>
      <c r="AT11" s="168" t="n">
        <v>2.14063228259973E-008</v>
      </c>
      <c r="AU11" s="168" t="n">
        <v>2.37254834891414E-006</v>
      </c>
      <c r="AV11" s="168" t="n">
        <v>1.91918736230279E-008</v>
      </c>
      <c r="AW11" s="168" t="n">
        <v>6.01233963644759E-006</v>
      </c>
      <c r="AX11" s="168" t="n">
        <v>3.74330451449756E-008</v>
      </c>
      <c r="AY11" s="168" t="n">
        <v>4.51368971992611E-006</v>
      </c>
      <c r="AZ11" s="168" t="n">
        <v>4.17395627820677E-007</v>
      </c>
      <c r="BA11" s="168" t="n">
        <v>9.66740365220356E-007</v>
      </c>
      <c r="BB11" s="168" t="n">
        <v>2.73247780963546E-007</v>
      </c>
      <c r="BC11" s="168" t="n">
        <v>2.5687559207538E-007</v>
      </c>
      <c r="BD11" s="168" t="n">
        <v>1.36131307441375E-005</v>
      </c>
      <c r="BE11" s="168" t="n">
        <v>4.2953317956497E-005</v>
      </c>
      <c r="BF11" s="168" t="n">
        <v>0.0002454399275058</v>
      </c>
      <c r="BG11" s="168" t="n">
        <v>0.000479301960272722</v>
      </c>
      <c r="BH11" s="168" t="n">
        <v>0.000163903856112239</v>
      </c>
      <c r="BI11" s="168" t="n">
        <v>4.86123574603895E-005</v>
      </c>
      <c r="BJ11" s="168" t="n">
        <v>0.00783737941767352</v>
      </c>
      <c r="BK11" s="168" t="n">
        <v>0.01447892780594</v>
      </c>
      <c r="BL11" s="168" t="n">
        <v>1.18834439927086E-007</v>
      </c>
      <c r="BM11" s="168" t="n">
        <v>4.70100997099345E-008</v>
      </c>
      <c r="BN11" s="168" t="n">
        <v>4.43451397102597E-008</v>
      </c>
      <c r="BO11" s="168" t="n">
        <v>1.45867354130311E-007</v>
      </c>
      <c r="BP11" s="168" t="n">
        <v>2.14623662318516E-007</v>
      </c>
      <c r="BQ11" s="168" t="n">
        <v>4.50780797105202E-008</v>
      </c>
      <c r="BR11" s="168" t="n">
        <v>1.86862824057481E-007</v>
      </c>
      <c r="BS11" s="168" t="n">
        <v>5.81002612423064E-006</v>
      </c>
      <c r="BT11" s="168" t="n">
        <v>2.28816243265014E-006</v>
      </c>
      <c r="BU11" s="168" t="n">
        <v>2.19374469143033E-006</v>
      </c>
      <c r="BV11" s="168" t="n">
        <v>6.58601143892718E-006</v>
      </c>
      <c r="BW11" s="3" t="n">
        <v>1.01242004168283E-005</v>
      </c>
      <c r="BX11" s="3" t="n">
        <v>1.92030635146357E-006</v>
      </c>
      <c r="BY11" s="3" t="n">
        <v>8.38775465528078E-006</v>
      </c>
      <c r="BZ11" s="169"/>
      <c r="CA11" s="169"/>
      <c r="CB11" s="169"/>
      <c r="CC11" s="169"/>
      <c r="CD11" s="169"/>
      <c r="CE11" s="169"/>
      <c r="CF11" s="169"/>
    </row>
    <row r="12" customFormat="false" ht="12.75" hidden="true" customHeight="false" outlineLevel="0" collapsed="false">
      <c r="A12" s="3" t="n">
        <v>5</v>
      </c>
      <c r="B12" s="3" t="n">
        <v>5.4</v>
      </c>
      <c r="C12" s="3" t="s">
        <v>320</v>
      </c>
      <c r="D12" s="3" t="s">
        <v>220</v>
      </c>
      <c r="E12" s="3" t="n">
        <v>0.198044444960693</v>
      </c>
      <c r="F12" s="3" t="n">
        <v>0.212634305512328</v>
      </c>
      <c r="G12" s="3" t="n">
        <v>0.0415714773744322</v>
      </c>
      <c r="H12" s="3" t="n">
        <v>0.00103332309025497</v>
      </c>
      <c r="I12" s="3" t="n">
        <v>0.409488020127225</v>
      </c>
      <c r="J12" s="3" t="n">
        <v>0.385694277409502</v>
      </c>
      <c r="K12" s="3" t="n">
        <v>0.0175157390543477</v>
      </c>
      <c r="L12" s="3" t="n">
        <v>1.64631841089602E-029</v>
      </c>
      <c r="M12" s="3" t="n">
        <v>0.0558018214195693</v>
      </c>
      <c r="N12" s="3" t="n">
        <v>0</v>
      </c>
      <c r="O12" s="168" t="n">
        <v>0.0141468590840591</v>
      </c>
      <c r="P12" s="3" t="n">
        <v>0</v>
      </c>
      <c r="Q12" s="3" t="n">
        <v>0.0296819239043481</v>
      </c>
      <c r="R12" s="3" t="n">
        <v>1.40485837729794E-028</v>
      </c>
      <c r="S12" s="168" t="n">
        <v>0.012569228503622</v>
      </c>
      <c r="T12" s="168" t="n">
        <v>0</v>
      </c>
      <c r="U12" s="3" t="n">
        <v>0.0472317202891306</v>
      </c>
      <c r="V12" s="168" t="n">
        <v>0</v>
      </c>
      <c r="W12" s="168" t="n">
        <v>3.02781275239156E-006</v>
      </c>
      <c r="X12" s="168" t="n">
        <v>0.000464029590040629</v>
      </c>
      <c r="Y12" s="168" t="n">
        <v>2.48524760695651E-006</v>
      </c>
      <c r="Z12" s="3" t="n">
        <v>0.000343270272974905</v>
      </c>
      <c r="AA12" s="3" t="n">
        <v>9.29471109905711E-008</v>
      </c>
      <c r="AB12" s="168" t="n">
        <v>0.000177494643656063</v>
      </c>
      <c r="AC12" s="3" t="n">
        <v>0.0650442271644879</v>
      </c>
      <c r="AD12" s="168" t="n">
        <v>0.0491155328927509</v>
      </c>
      <c r="AE12" s="168" t="n">
        <v>2.84893824275346E-005</v>
      </c>
      <c r="AF12" s="3" t="n">
        <v>0.00349942735579713</v>
      </c>
      <c r="AG12" s="3" t="n">
        <v>1.28618625851251E-032</v>
      </c>
      <c r="AH12" s="168" t="n">
        <v>4.53550966434719E-005</v>
      </c>
      <c r="AI12" s="168" t="n">
        <v>0.000258234995639683</v>
      </c>
      <c r="AJ12" s="168" t="n">
        <v>0.212634305512328</v>
      </c>
      <c r="AK12" s="168" t="n">
        <v>9.6888958188456E-006</v>
      </c>
      <c r="AL12" s="168" t="n">
        <v>3.97989565218023E-008</v>
      </c>
      <c r="AM12" s="168" t="n">
        <v>3.38538840579677E-008</v>
      </c>
      <c r="AN12" s="3" t="n">
        <v>6.00996854195651E-006</v>
      </c>
      <c r="AO12" s="3" t="n">
        <v>4.74928272231882E-006</v>
      </c>
      <c r="AP12" s="3" t="n">
        <v>4.25825079239128E-006</v>
      </c>
      <c r="AQ12" s="168" t="n">
        <v>0.00365585537643481</v>
      </c>
      <c r="AR12" s="168" t="n">
        <v>0.0027632374410144</v>
      </c>
      <c r="AS12" s="168" t="n">
        <v>0.00247835685112321</v>
      </c>
      <c r="AT12" s="168" t="n">
        <v>4.127958492768E-008</v>
      </c>
      <c r="AU12" s="168" t="n">
        <v>1.08763098318819E-006</v>
      </c>
      <c r="AV12" s="168" t="n">
        <v>3.00102660148049E-008</v>
      </c>
      <c r="AW12" s="168" t="n">
        <v>5.75935619056674E-007</v>
      </c>
      <c r="AX12" s="168" t="n">
        <v>3.00468270601427E-006</v>
      </c>
      <c r="AY12" s="168" t="n">
        <v>2.54329645326508E-006</v>
      </c>
      <c r="AZ12" s="168" t="n">
        <v>4.5815787664908E-007</v>
      </c>
      <c r="BA12" s="168" t="n">
        <v>3.15148980140075E-007</v>
      </c>
      <c r="BB12" s="168" t="n">
        <v>3.96179104578997E-007</v>
      </c>
      <c r="BC12" s="3" t="n">
        <v>6.54321716344206E-007</v>
      </c>
      <c r="BD12" s="3" t="n">
        <v>1.24256500425895E-005</v>
      </c>
      <c r="BE12" s="3" t="n">
        <v>1.83364881484353E-005</v>
      </c>
      <c r="BF12" s="3" t="n">
        <v>0.000252263194895171</v>
      </c>
      <c r="BG12" s="3" t="n">
        <v>0.0001749102893816</v>
      </c>
      <c r="BH12" s="168" t="n">
        <v>0.000244969055535674</v>
      </c>
      <c r="BI12" s="168" t="n">
        <v>0.000293911171014845</v>
      </c>
      <c r="BJ12" s="168" t="n">
        <v>0.00718191701868481</v>
      </c>
      <c r="BK12" s="168" t="n">
        <v>0.00539931300980814</v>
      </c>
      <c r="BL12" s="168" t="n">
        <v>4.97296503623988E-008</v>
      </c>
      <c r="BM12" s="168" t="n">
        <v>5.61323644920828E-009</v>
      </c>
      <c r="BN12" s="168" t="n">
        <v>5.46851992756443E-009</v>
      </c>
      <c r="BO12" s="168" t="n">
        <v>7.43584782615751E-009</v>
      </c>
      <c r="BP12" s="168" t="n">
        <v>1.10180008699105E-008</v>
      </c>
      <c r="BQ12" s="168" t="n">
        <v>1.05375477536291E-008</v>
      </c>
      <c r="BR12" s="168" t="n">
        <v>2.11334796232397E-007</v>
      </c>
      <c r="BS12" s="168" t="n">
        <v>2.43118670405034E-006</v>
      </c>
      <c r="BT12" s="168" t="n">
        <v>2.73223475707271E-007</v>
      </c>
      <c r="BU12" s="168" t="n">
        <v>2.70527294528407E-007</v>
      </c>
      <c r="BV12" s="168" t="n">
        <v>3.35764148594776E-007</v>
      </c>
      <c r="BW12" s="3" t="n">
        <v>5.19783697127508E-007</v>
      </c>
      <c r="BX12" s="3" t="n">
        <v>4.48911096282442E-007</v>
      </c>
      <c r="BY12" s="3" t="n">
        <v>9.48661950322824E-006</v>
      </c>
      <c r="BZ12" s="169"/>
      <c r="CA12" s="169"/>
      <c r="CB12" s="169"/>
      <c r="CC12" s="169"/>
      <c r="CD12" s="169"/>
      <c r="CE12" s="169"/>
      <c r="CF12" s="169"/>
    </row>
    <row r="13" customFormat="false" ht="12.75" hidden="true" customHeight="false" outlineLevel="0" collapsed="false">
      <c r="A13" s="3" t="n">
        <v>5</v>
      </c>
      <c r="B13" s="3" t="n">
        <v>5.4</v>
      </c>
      <c r="C13" s="3" t="s">
        <v>321</v>
      </c>
      <c r="D13" s="3" t="s">
        <v>220</v>
      </c>
      <c r="E13" s="3" t="n">
        <v>0.0746895466155267</v>
      </c>
      <c r="F13" s="3" t="n">
        <v>0.0752116133536352</v>
      </c>
      <c r="G13" s="3" t="n">
        <v>0.00124083075462245</v>
      </c>
      <c r="H13" s="3" t="n">
        <v>0.00118083799582827</v>
      </c>
      <c r="I13" s="3" t="n">
        <v>0.0880329245685827</v>
      </c>
      <c r="J13" s="3" t="n">
        <v>0.0863531127972961</v>
      </c>
      <c r="K13" s="3" t="n">
        <v>0.0145574835818828</v>
      </c>
      <c r="L13" s="3" t="n">
        <v>1.48168656980642E-029</v>
      </c>
      <c r="M13" s="3" t="n">
        <v>0.0467900670492739</v>
      </c>
      <c r="N13" s="3" t="n">
        <v>0</v>
      </c>
      <c r="O13" s="3" t="n">
        <v>0.0127134692173906</v>
      </c>
      <c r="P13" s="3" t="n">
        <v>3.51214594324485E-029</v>
      </c>
      <c r="Q13" s="3" t="n">
        <v>0.0274684161623201</v>
      </c>
      <c r="R13" s="3" t="n">
        <v>1.40485837729794E-028</v>
      </c>
      <c r="S13" s="3" t="n">
        <v>0.00919355728623237</v>
      </c>
      <c r="T13" s="3" t="n">
        <v>0</v>
      </c>
      <c r="U13" s="3" t="n">
        <v>0.0351461727971006</v>
      </c>
      <c r="V13" s="168" t="n">
        <v>0</v>
      </c>
      <c r="W13" s="3" t="n">
        <v>1.74911786253632E-006</v>
      </c>
      <c r="X13" s="168" t="n">
        <v>0.000371331233341041</v>
      </c>
      <c r="Y13" s="3" t="n">
        <v>1.25166108144923E-006</v>
      </c>
      <c r="Z13" s="3" t="n">
        <v>0.000191486009898168</v>
      </c>
      <c r="AA13" s="3" t="n">
        <v>8.29236405210143E-008</v>
      </c>
      <c r="AB13" s="3" t="n">
        <v>0.000203987092840021</v>
      </c>
      <c r="AC13" s="3" t="n">
        <v>0.0327059541210161</v>
      </c>
      <c r="AD13" s="3" t="n">
        <v>0.0173768863934742</v>
      </c>
      <c r="AE13" s="3" t="n">
        <v>5.12130642318872E-005</v>
      </c>
      <c r="AF13" s="3" t="n">
        <v>0.00336569184927549</v>
      </c>
      <c r="AG13" s="3" t="n">
        <v>1.60773282314064E-032</v>
      </c>
      <c r="AH13" s="3" t="n">
        <v>2.38895821379707E-005</v>
      </c>
      <c r="AI13" s="3" t="n">
        <v>0.00046759489519262</v>
      </c>
      <c r="AJ13" s="3" t="n">
        <v>0.0752116133536352</v>
      </c>
      <c r="AK13" s="3" t="n">
        <v>3.44616955797378E-006</v>
      </c>
      <c r="AL13" s="3" t="n">
        <v>7.47788405796915E-009</v>
      </c>
      <c r="AM13" s="3" t="n">
        <v>1.62264275363272E-008</v>
      </c>
      <c r="AN13" s="3" t="n">
        <v>9.50392936521692E-007</v>
      </c>
      <c r="AO13" s="3" t="n">
        <v>5.86003225217363E-007</v>
      </c>
      <c r="AP13" s="3" t="n">
        <v>2.25340200514503E-006</v>
      </c>
      <c r="AQ13" s="168" t="n">
        <v>0.000507526222579721</v>
      </c>
      <c r="AR13" s="3" t="n">
        <v>0.000341179391188395</v>
      </c>
      <c r="AS13" s="168" t="n">
        <v>0.00131186684532608</v>
      </c>
      <c r="AT13" s="3" t="n">
        <v>5.26111884056566E-009</v>
      </c>
      <c r="AU13" s="168" t="n">
        <v>5.60180567394837E-008</v>
      </c>
      <c r="AV13" s="3" t="n">
        <v>9.45821905791202E-009</v>
      </c>
      <c r="AW13" s="3" t="n">
        <v>4.69889917609467E-007</v>
      </c>
      <c r="AX13" s="168" t="n">
        <v>1.88135478262088E-008</v>
      </c>
      <c r="AY13" s="3" t="n">
        <v>3.3015456340598E-007</v>
      </c>
      <c r="AZ13" s="3" t="n">
        <v>2.02795606260367E-007</v>
      </c>
      <c r="BA13" s="3" t="n">
        <v>2.33572902576437E-007</v>
      </c>
      <c r="BB13" s="3" t="n">
        <v>3.64936371709276E-007</v>
      </c>
      <c r="BC13" s="3" t="n">
        <v>2.41002331671915E-007</v>
      </c>
      <c r="BD13" s="3" t="n">
        <v>4.52740725785728E-006</v>
      </c>
      <c r="BE13" s="3" t="n">
        <v>5.7338394148701E-006</v>
      </c>
      <c r="BF13" s="3" t="n">
        <v>0.00011664249904411</v>
      </c>
      <c r="BG13" s="3" t="n">
        <v>7.59578784243338E-005</v>
      </c>
      <c r="BH13" s="3" t="n">
        <v>0.000216075160479224</v>
      </c>
      <c r="BI13" s="3" t="n">
        <v>0.000110901547719328</v>
      </c>
      <c r="BJ13" s="168" t="n">
        <v>0.00259805322995214</v>
      </c>
      <c r="BK13" s="168" t="n">
        <v>0.00202211810991945</v>
      </c>
      <c r="BL13" s="168" t="n">
        <v>1.92942852171376E-008</v>
      </c>
      <c r="BM13" s="168" t="n">
        <v>7.03483710143481E-009</v>
      </c>
      <c r="BN13" s="168" t="n">
        <v>7.6415997100702E-009</v>
      </c>
      <c r="BO13" s="168" t="n">
        <v>1.79678362316808E-008</v>
      </c>
      <c r="BP13" s="3" t="n">
        <v>8.73604144933916E-009</v>
      </c>
      <c r="BQ13" s="3" t="n">
        <v>8.82252340581172E-009</v>
      </c>
      <c r="BR13" s="3" t="n">
        <v>1.45189952971741E-007</v>
      </c>
      <c r="BS13" s="3" t="n">
        <v>9.43173457698693E-007</v>
      </c>
      <c r="BT13" s="168" t="n">
        <v>3.42406263625407E-007</v>
      </c>
      <c r="BU13" s="168" t="n">
        <v>3.78012579294646E-007</v>
      </c>
      <c r="BV13" s="168" t="n">
        <v>8.11261211054151E-007</v>
      </c>
      <c r="BW13" s="3" t="n">
        <v>4.12125858213426E-007</v>
      </c>
      <c r="BX13" s="3" t="n">
        <v>3.75831988351027E-007</v>
      </c>
      <c r="BY13" s="3" t="n">
        <v>6.51678311169261E-006</v>
      </c>
      <c r="BZ13" s="169"/>
      <c r="CA13" s="169"/>
      <c r="CB13" s="169"/>
      <c r="CC13" s="169"/>
      <c r="CD13" s="169"/>
      <c r="CE13" s="169"/>
      <c r="CF13" s="169"/>
    </row>
    <row r="14" customFormat="false" ht="12.75" hidden="true" customHeight="false" outlineLevel="0" collapsed="false">
      <c r="A14" s="3" t="n">
        <v>6</v>
      </c>
      <c r="B14" s="3" t="n">
        <v>6.1</v>
      </c>
      <c r="C14" s="3" t="s">
        <v>322</v>
      </c>
      <c r="D14" s="3" t="s">
        <v>220</v>
      </c>
      <c r="E14" s="3" t="n">
        <v>0.00240650930921736</v>
      </c>
      <c r="F14" s="3" t="n">
        <v>0.000488603708340576</v>
      </c>
      <c r="G14" s="3" t="n">
        <v>0.00272184783723812</v>
      </c>
      <c r="H14" s="3" t="n">
        <v>0.00223636127616668</v>
      </c>
      <c r="I14" s="3" t="n">
        <v>0.00268578964393701</v>
      </c>
      <c r="J14" s="3" t="n">
        <v>0.00559696630604741</v>
      </c>
      <c r="K14" s="3" t="n">
        <v>0.0112161848862307</v>
      </c>
      <c r="L14" s="3" t="n">
        <v>1.48168656980642E-029</v>
      </c>
      <c r="M14" s="3" t="n">
        <v>0.0410386985014468</v>
      </c>
      <c r="N14" s="3" t="n">
        <v>0</v>
      </c>
      <c r="O14" s="3" t="n">
        <v>0.0155256837557954</v>
      </c>
      <c r="P14" s="3" t="n">
        <v>0</v>
      </c>
      <c r="Q14" s="3" t="n">
        <v>0.0386079650318828</v>
      </c>
      <c r="R14" s="3" t="n">
        <v>8.78036485811213E-029</v>
      </c>
      <c r="S14" s="3" t="n">
        <v>0.00798774494782489</v>
      </c>
      <c r="T14" s="3" t="n">
        <v>0</v>
      </c>
      <c r="U14" s="3" t="n">
        <v>0.0245629839971035</v>
      </c>
      <c r="V14" s="3" t="n">
        <v>0</v>
      </c>
      <c r="W14" s="3" t="n">
        <v>1.51274286260146E-007</v>
      </c>
      <c r="X14" s="3" t="n">
        <v>0.000355130524385329</v>
      </c>
      <c r="Y14" s="3" t="n">
        <v>3.27096482979722E-007</v>
      </c>
      <c r="Z14" s="3" t="n">
        <v>0.00154473946723548</v>
      </c>
      <c r="AA14" s="3" t="n">
        <v>1.90738648008697E-007</v>
      </c>
      <c r="AB14" s="3" t="n">
        <v>0.0193990885176384</v>
      </c>
      <c r="AC14" s="3" t="n">
        <v>0.00401298835749961</v>
      </c>
      <c r="AD14" s="3" t="n">
        <v>0.000535831688927535</v>
      </c>
      <c r="AE14" s="3" t="n">
        <v>0.000808851097210152</v>
      </c>
      <c r="AF14" s="3" t="n">
        <v>0.00455770656739128</v>
      </c>
      <c r="AG14" s="3" t="n">
        <v>0</v>
      </c>
      <c r="AH14" s="3" t="n">
        <v>1.92130968723928E-007</v>
      </c>
      <c r="AI14" s="3" t="n">
        <v>8.16558335347702E-005</v>
      </c>
      <c r="AJ14" s="3" t="n">
        <v>0.000488603708340576</v>
      </c>
      <c r="AK14" s="3" t="n">
        <v>8.80309337318784E-009</v>
      </c>
      <c r="AL14" s="3" t="n">
        <v>6.75499971014552E-009</v>
      </c>
      <c r="AM14" s="3" t="n">
        <v>1.934908576232E-008</v>
      </c>
      <c r="AN14" s="168" t="n">
        <v>0</v>
      </c>
      <c r="AO14" s="168" t="n">
        <v>0</v>
      </c>
      <c r="AP14" s="168" t="n">
        <v>0</v>
      </c>
      <c r="AQ14" s="3" t="n">
        <v>1.57362197007306E-013</v>
      </c>
      <c r="AR14" s="3" t="n">
        <v>1.00379987117457E-013</v>
      </c>
      <c r="AS14" s="3" t="n">
        <v>6.45768699313043E-013</v>
      </c>
      <c r="AT14" s="3" t="n">
        <v>0</v>
      </c>
      <c r="AU14" s="3" t="n">
        <v>0</v>
      </c>
      <c r="AV14" s="3" t="n">
        <v>0</v>
      </c>
      <c r="AW14" s="3" t="n">
        <v>0</v>
      </c>
      <c r="AX14" s="3" t="n">
        <v>0</v>
      </c>
      <c r="AY14" s="3" t="n">
        <v>0</v>
      </c>
      <c r="AZ14" s="3" t="n">
        <v>0</v>
      </c>
      <c r="BA14" s="3" t="n">
        <v>0</v>
      </c>
      <c r="BB14" s="3" t="n">
        <v>0</v>
      </c>
      <c r="BC14" s="3" t="n">
        <v>0</v>
      </c>
      <c r="BD14" s="3" t="n">
        <v>5.31797145666907E-005</v>
      </c>
      <c r="BE14" s="3" t="n">
        <v>7.70096703157489E-006</v>
      </c>
      <c r="BF14" s="3" t="n">
        <v>0</v>
      </c>
      <c r="BG14" s="3" t="n">
        <v>0</v>
      </c>
      <c r="BH14" s="3" t="n">
        <v>0</v>
      </c>
      <c r="BI14" s="168" t="n">
        <v>0</v>
      </c>
      <c r="BJ14" s="168" t="n">
        <v>0.0321822360671785</v>
      </c>
      <c r="BK14" s="168" t="n">
        <v>0.00272182978763982</v>
      </c>
      <c r="BL14" s="168" t="n">
        <v>4.7854271231884E-014</v>
      </c>
      <c r="BM14" s="168" t="n">
        <v>5.64751857971014E-014</v>
      </c>
      <c r="BN14" s="168" t="n">
        <v>6.29685036956521E-014</v>
      </c>
      <c r="BO14" s="168" t="n">
        <v>9.78169495652173E-014</v>
      </c>
      <c r="BP14" s="168" t="n">
        <v>1.21569892101449E-013</v>
      </c>
      <c r="BQ14" s="168" t="n">
        <v>1.07810731521739E-013</v>
      </c>
      <c r="BR14" s="168" t="n">
        <v>7.52085210869565E-014</v>
      </c>
      <c r="BS14" s="168" t="n">
        <v>5.27650773683169E-063</v>
      </c>
      <c r="BT14" s="168" t="n">
        <v>2.74066793863608E-063</v>
      </c>
      <c r="BU14" s="168" t="n">
        <v>1.21729300038195E-063</v>
      </c>
      <c r="BV14" s="168" t="n">
        <v>2.94579797598751E-064</v>
      </c>
      <c r="BW14" s="3" t="n">
        <v>2.8999744657463E-062</v>
      </c>
      <c r="BX14" s="3" t="n">
        <v>1.53447889641973E-063</v>
      </c>
      <c r="BY14" s="3" t="n">
        <v>7.81224743956134E-064</v>
      </c>
      <c r="BZ14" s="169"/>
      <c r="CA14" s="169"/>
      <c r="CB14" s="169"/>
      <c r="CC14" s="169"/>
      <c r="CD14" s="169"/>
      <c r="CE14" s="169"/>
      <c r="CF14" s="169"/>
    </row>
    <row r="15" customFormat="false" ht="12.75" hidden="true" customHeight="false" outlineLevel="0" collapsed="false">
      <c r="A15" s="3" t="n">
        <v>6</v>
      </c>
      <c r="B15" s="3" t="n">
        <v>6.1</v>
      </c>
      <c r="C15" s="3" t="s">
        <v>323</v>
      </c>
      <c r="D15" s="3" t="s">
        <v>220</v>
      </c>
      <c r="E15" s="3" t="n">
        <v>0.00306651147753621</v>
      </c>
      <c r="F15" s="3" t="n">
        <v>0.000474645300492763</v>
      </c>
      <c r="G15" s="3" t="n">
        <v>1.02717710858709E-005</v>
      </c>
      <c r="H15" s="3" t="n">
        <v>0.00254876555257974</v>
      </c>
      <c r="I15" s="3" t="n">
        <v>0.000476273633116217</v>
      </c>
      <c r="J15" s="3" t="n">
        <v>0.00318441358733844</v>
      </c>
      <c r="K15" s="3" t="n">
        <v>0.0117699869304355</v>
      </c>
      <c r="L15" s="3" t="n">
        <v>1.31705472871681E-029</v>
      </c>
      <c r="M15" s="3" t="n">
        <v>0.0370566241739127</v>
      </c>
      <c r="N15" s="3" t="n">
        <v>0</v>
      </c>
      <c r="O15" s="3" t="n">
        <v>0.0149811167188427</v>
      </c>
      <c r="P15" s="3" t="n">
        <v>0</v>
      </c>
      <c r="Q15" s="3" t="n">
        <v>0.0410646621036293</v>
      </c>
      <c r="R15" s="3" t="n">
        <v>2.10728756594691E-028</v>
      </c>
      <c r="S15" s="3" t="n">
        <v>0.0127889469101446</v>
      </c>
      <c r="T15" s="3" t="n">
        <v>0</v>
      </c>
      <c r="U15" s="3" t="n">
        <v>0.0405286783623217</v>
      </c>
      <c r="V15" s="3" t="n">
        <v>0</v>
      </c>
      <c r="W15" s="3" t="n">
        <v>1.37772737623187E-007</v>
      </c>
      <c r="X15" s="3" t="n">
        <v>0.00034897647191075</v>
      </c>
      <c r="Y15" s="3" t="n">
        <v>2.44005211419571E-007</v>
      </c>
      <c r="Z15" s="3" t="n">
        <v>0.000894002586296197</v>
      </c>
      <c r="AA15" s="3" t="n">
        <v>3.2760663700797E-007</v>
      </c>
      <c r="AB15" s="3" t="n">
        <v>0.0349740334803774</v>
      </c>
      <c r="AC15" s="3" t="n">
        <v>0.00415929441981905</v>
      </c>
      <c r="AD15" s="3" t="n">
        <v>0.000194471729362324</v>
      </c>
      <c r="AE15" s="3" t="n">
        <v>0.000272424942427508</v>
      </c>
      <c r="AF15" s="3" t="n">
        <v>0.00731023239927528</v>
      </c>
      <c r="AG15" s="3" t="n">
        <v>0</v>
      </c>
      <c r="AH15" s="3" t="n">
        <v>2.45262326932595E-007</v>
      </c>
      <c r="AI15" s="3" t="n">
        <v>0.000122103921776736</v>
      </c>
      <c r="AJ15" s="3" t="n">
        <v>0.000474645300492763</v>
      </c>
      <c r="AK15" s="3" t="n">
        <v>6.76034884565205E-009</v>
      </c>
      <c r="AL15" s="3" t="n">
        <v>4.4239257014487E-009</v>
      </c>
      <c r="AM15" s="3" t="n">
        <v>4.25000536695675E-008</v>
      </c>
      <c r="AN15" s="3" t="n">
        <v>0</v>
      </c>
      <c r="AO15" s="3" t="n">
        <v>0</v>
      </c>
      <c r="AP15" s="3" t="n">
        <v>0</v>
      </c>
      <c r="AQ15" s="3" t="n">
        <v>1.10257409834742E-013</v>
      </c>
      <c r="AR15" s="3" t="n">
        <v>1.15746190989169E-013</v>
      </c>
      <c r="AS15" s="3" t="n">
        <v>4.32779418155801E-013</v>
      </c>
      <c r="AT15" s="3" t="n">
        <v>2.0433597102114E-009</v>
      </c>
      <c r="AU15" s="3" t="n">
        <v>3.01583691522541E-007</v>
      </c>
      <c r="AV15" s="3" t="n">
        <v>4.55192862318764E-009</v>
      </c>
      <c r="AW15" s="3" t="n">
        <v>2.86076867753645E-007</v>
      </c>
      <c r="AX15" s="3" t="n">
        <v>4.6253588406207E-009</v>
      </c>
      <c r="AY15" s="3" t="n">
        <v>2.83726410362239E-007</v>
      </c>
      <c r="AZ15" s="3" t="n">
        <v>2.2359570185044E-008</v>
      </c>
      <c r="BA15" s="3" t="n">
        <v>8.31365774736076E-009</v>
      </c>
      <c r="BB15" s="3" t="n">
        <v>3.08638870548605E-008</v>
      </c>
      <c r="BC15" s="3" t="n">
        <v>4.75866236694671E-009</v>
      </c>
      <c r="BD15" s="3" t="n">
        <v>2.85280417095973E-008</v>
      </c>
      <c r="BE15" s="3" t="n">
        <v>2.10815898485685E-008</v>
      </c>
      <c r="BF15" s="3" t="n">
        <v>1.34759780507404E-005</v>
      </c>
      <c r="BG15" s="3" t="n">
        <v>2.96399885639193E-006</v>
      </c>
      <c r="BH15" s="3" t="n">
        <v>1.8609316607429E-005</v>
      </c>
      <c r="BI15" s="3" t="n">
        <v>1.6748479736387E-006</v>
      </c>
      <c r="BJ15" s="3" t="n">
        <v>1.72051944429834E-005</v>
      </c>
      <c r="BK15" s="3" t="n">
        <v>7.46051175141905E-006</v>
      </c>
      <c r="BL15" s="3" t="n">
        <v>3.68404868840579E-014</v>
      </c>
      <c r="BM15" s="3" t="n">
        <v>4.07521303623188E-014</v>
      </c>
      <c r="BN15" s="3" t="n">
        <v>6.26369423188405E-014</v>
      </c>
      <c r="BO15" s="3" t="n">
        <v>3.20917214492753E-014</v>
      </c>
      <c r="BP15" s="3" t="n">
        <v>9.95101836956522E-014</v>
      </c>
      <c r="BQ15" s="3" t="n">
        <v>4.29232753623188E-014</v>
      </c>
      <c r="BR15" s="3" t="n">
        <v>9.62047292753623E-014</v>
      </c>
      <c r="BS15" s="3" t="n">
        <v>3.81970701497938E-063</v>
      </c>
      <c r="BT15" s="3" t="n">
        <v>3.54840022282174E-063</v>
      </c>
      <c r="BU15" s="3" t="n">
        <v>1.97677940757208E-063</v>
      </c>
      <c r="BV15" s="3" t="n">
        <v>8.83711315331826E-064</v>
      </c>
      <c r="BW15" s="3" t="n">
        <v>3.18207601143318E-062</v>
      </c>
      <c r="BX15" s="3" t="n">
        <v>1.18267867831763E-063</v>
      </c>
      <c r="BY15" s="3" t="n">
        <v>7.35173471023721E-064</v>
      </c>
      <c r="BZ15" s="169"/>
      <c r="CA15" s="169"/>
      <c r="CB15" s="169"/>
      <c r="CC15" s="169"/>
      <c r="CD15" s="169"/>
      <c r="CE15" s="169"/>
      <c r="CF15" s="169"/>
    </row>
    <row r="16" customFormat="false" ht="12.75" hidden="true" customHeight="false" outlineLevel="0" collapsed="false">
      <c r="A16" s="3" t="n">
        <v>6</v>
      </c>
      <c r="B16" s="3" t="n">
        <v>6.1</v>
      </c>
      <c r="C16" s="3" t="s">
        <v>324</v>
      </c>
      <c r="D16" s="3" t="s">
        <v>220</v>
      </c>
      <c r="E16" s="3" t="n">
        <v>0.00259575335877569</v>
      </c>
      <c r="F16" s="3" t="n">
        <v>0.000414738560782627</v>
      </c>
      <c r="G16" s="3" t="n">
        <v>1.11049188989128E-005</v>
      </c>
      <c r="H16" s="3" t="n">
        <v>0.00188488885199299</v>
      </c>
      <c r="I16" s="3" t="n">
        <v>0.000472660025770082</v>
      </c>
      <c r="J16" s="3" t="n">
        <v>0.00266306299251282</v>
      </c>
      <c r="K16" s="3" t="n">
        <v>0.0111165580166662</v>
      </c>
      <c r="L16" s="3" t="n">
        <v>1.75607297162242E-029</v>
      </c>
      <c r="M16" s="3" t="n">
        <v>0.0293511553971018</v>
      </c>
      <c r="N16" s="3" t="n">
        <v>0</v>
      </c>
      <c r="O16" s="3" t="n">
        <v>0.0083732064862309</v>
      </c>
      <c r="P16" s="3" t="n">
        <v>0</v>
      </c>
      <c r="Q16" s="3" t="n">
        <v>0.0245745945478238</v>
      </c>
      <c r="R16" s="3" t="n">
        <v>7.0242918864897E-029</v>
      </c>
      <c r="S16" s="3" t="n">
        <v>0.00951297637101586</v>
      </c>
      <c r="T16" s="3" t="n">
        <v>0</v>
      </c>
      <c r="U16" s="3" t="n">
        <v>0.0330762896630427</v>
      </c>
      <c r="V16" s="3" t="n">
        <v>0</v>
      </c>
      <c r="W16" s="3" t="n">
        <v>1.214960327471E-007</v>
      </c>
      <c r="X16" s="3" t="n">
        <v>0.000298279096120752</v>
      </c>
      <c r="Y16" s="3" t="n">
        <v>2.01488647605799E-007</v>
      </c>
      <c r="Z16" s="3" t="n">
        <v>0.00039047536893089</v>
      </c>
      <c r="AA16" s="3" t="n">
        <v>2.35343151223183E-007</v>
      </c>
      <c r="AB16" s="3" t="n">
        <v>0.0225790423695662</v>
      </c>
      <c r="AC16" s="3" t="n">
        <v>0.00369087767651497</v>
      </c>
      <c r="AD16" s="3" t="n">
        <v>0.000220522285101448</v>
      </c>
      <c r="AE16" s="3" t="n">
        <v>0.000249019342347822</v>
      </c>
      <c r="AF16" s="3" t="n">
        <v>0.00542777907753733</v>
      </c>
      <c r="AG16" s="3" t="n">
        <v>0</v>
      </c>
      <c r="AH16" s="3" t="n">
        <v>1.41596744113048E-007</v>
      </c>
      <c r="AI16" s="3" t="n">
        <v>8.59135444602766E-005</v>
      </c>
      <c r="AJ16" s="3" t="n">
        <v>0.000414738560782627</v>
      </c>
      <c r="AK16" s="3" t="n">
        <v>8.08200573260912E-009</v>
      </c>
      <c r="AL16" s="3" t="n">
        <v>2.32238846884099E-009</v>
      </c>
      <c r="AM16" s="3" t="n">
        <v>1.11644987818851E-008</v>
      </c>
      <c r="AN16" s="3" t="n">
        <v>0</v>
      </c>
      <c r="AO16" s="3" t="n">
        <v>0</v>
      </c>
      <c r="AP16" s="3" t="n">
        <v>0</v>
      </c>
      <c r="AQ16" s="3" t="n">
        <v>1.98443625686573E-013</v>
      </c>
      <c r="AR16" s="3" t="n">
        <v>1.11057105344746E-013</v>
      </c>
      <c r="AS16" s="3" t="n">
        <v>6.30615922799275E-013</v>
      </c>
      <c r="AT16" s="3" t="n">
        <v>2.90646840579562E-009</v>
      </c>
      <c r="AU16" s="3" t="n">
        <v>1.95638107173749E-007</v>
      </c>
      <c r="AV16" s="3" t="n">
        <v>2.99528347821836E-009</v>
      </c>
      <c r="AW16" s="3" t="n">
        <v>2.67997285797749E-007</v>
      </c>
      <c r="AX16" s="3" t="n">
        <v>3.71294253620664E-009</v>
      </c>
      <c r="AY16" s="3" t="n">
        <v>2.07852580579487E-007</v>
      </c>
      <c r="AZ16" s="3" t="n">
        <v>3.24087628095735E-008</v>
      </c>
      <c r="BA16" s="3" t="n">
        <v>8.73059864547205E-009</v>
      </c>
      <c r="BB16" s="3" t="n">
        <v>3.12170124734077E-008</v>
      </c>
      <c r="BC16" s="3" t="n">
        <v>1.13741100347118E-008</v>
      </c>
      <c r="BD16" s="3" t="n">
        <v>3.04777336973319E-008</v>
      </c>
      <c r="BE16" s="3" t="n">
        <v>9.34967059365925E-009</v>
      </c>
      <c r="BF16" s="3" t="n">
        <v>1.95337891739101E-005</v>
      </c>
      <c r="BG16" s="3" t="n">
        <v>3.10740602785809E-006</v>
      </c>
      <c r="BH16" s="3" t="n">
        <v>1.88185950849261E-005</v>
      </c>
      <c r="BI16" s="3" t="n">
        <v>3.99525339824981E-006</v>
      </c>
      <c r="BJ16" s="3" t="n">
        <v>1.83783456022959E-005</v>
      </c>
      <c r="BK16" s="3" t="n">
        <v>3.32025678451992E-006</v>
      </c>
      <c r="BL16" s="3" t="n">
        <v>5.76161101449275E-014</v>
      </c>
      <c r="BM16" s="3" t="n">
        <v>4.7573572173913E-014</v>
      </c>
      <c r="BN16" s="3" t="n">
        <v>4.34307355797101E-014</v>
      </c>
      <c r="BO16" s="3" t="n">
        <v>3.97919397101449E-014</v>
      </c>
      <c r="BP16" s="3" t="n">
        <v>5.04350897826087E-014</v>
      </c>
      <c r="BQ16" s="3" t="n">
        <v>5.25426597101449E-014</v>
      </c>
      <c r="BR16" s="3" t="n">
        <v>7.93836475362319E-014</v>
      </c>
      <c r="BS16" s="3" t="n">
        <v>7.6112333142871E-063</v>
      </c>
      <c r="BT16" s="3" t="n">
        <v>4.37592115376954E-063</v>
      </c>
      <c r="BU16" s="3" t="n">
        <v>1.58004174453436E-063</v>
      </c>
      <c r="BV16" s="3" t="n">
        <v>1.24455646870531E-063</v>
      </c>
      <c r="BW16" s="3" t="n">
        <v>1.5567372963571E-062</v>
      </c>
      <c r="BX16" s="3" t="n">
        <v>1.50481825459327E-063</v>
      </c>
      <c r="BY16" s="3" t="n">
        <v>3.78574848413827E-064</v>
      </c>
      <c r="BZ16" s="169"/>
      <c r="CA16" s="169"/>
      <c r="CB16" s="169"/>
      <c r="CC16" s="169"/>
      <c r="CD16" s="169"/>
      <c r="CE16" s="169"/>
      <c r="CF16" s="169"/>
    </row>
    <row r="17" customFormat="false" ht="12.75" hidden="true" customHeight="false" outlineLevel="0" collapsed="false">
      <c r="A17" s="3" t="n">
        <v>6</v>
      </c>
      <c r="B17" s="3" t="n">
        <v>6.2</v>
      </c>
      <c r="C17" s="3" t="s">
        <v>325</v>
      </c>
      <c r="D17" s="3" t="s">
        <v>220</v>
      </c>
      <c r="E17" s="3" t="n">
        <v>0.234792034671807</v>
      </c>
      <c r="F17" s="3" t="n">
        <v>0.243378651158686</v>
      </c>
      <c r="G17" s="3" t="n">
        <v>0.110440633570242</v>
      </c>
      <c r="H17" s="3" t="n">
        <v>0.000999029781985542</v>
      </c>
      <c r="I17" s="168" t="n">
        <v>0.0423078095525438</v>
      </c>
      <c r="J17" s="3" t="n">
        <v>0.0420709239325752</v>
      </c>
      <c r="K17" s="3" t="n">
        <v>0.00744852810362322</v>
      </c>
      <c r="L17" s="3" t="n">
        <v>1.92070481271202E-029</v>
      </c>
      <c r="M17" s="3" t="n">
        <v>0.025109806944925</v>
      </c>
      <c r="N17" s="3" t="n">
        <v>0</v>
      </c>
      <c r="O17" s="168" t="n">
        <v>0.0103896778434768</v>
      </c>
      <c r="P17" s="3" t="n">
        <v>0</v>
      </c>
      <c r="Q17" s="3" t="n">
        <v>0.0339400079760861</v>
      </c>
      <c r="R17" s="3" t="n">
        <v>3.51214594324485E-029</v>
      </c>
      <c r="S17" s="3" t="n">
        <v>0.0099757940405818</v>
      </c>
      <c r="T17" s="168" t="n">
        <v>0</v>
      </c>
      <c r="U17" s="3" t="n">
        <v>0.0244026299565216</v>
      </c>
      <c r="V17" s="168" t="n">
        <v>0</v>
      </c>
      <c r="W17" s="3" t="n">
        <v>9.90695027823175E-007</v>
      </c>
      <c r="X17" s="168" t="n">
        <v>0.0586518661247675</v>
      </c>
      <c r="Y17" s="3" t="n">
        <v>2.43581950161558E-006</v>
      </c>
      <c r="Z17" s="3" t="n">
        <v>0.389017980688354</v>
      </c>
      <c r="AA17" s="3" t="n">
        <v>4.10063397839355E-006</v>
      </c>
      <c r="AB17" s="3" t="n">
        <v>0.240012716160878</v>
      </c>
      <c r="AC17" s="3" t="n">
        <v>0.549481134434059</v>
      </c>
      <c r="AD17" s="3" t="n">
        <v>0.37119233906268</v>
      </c>
      <c r="AE17" s="168" t="n">
        <v>0.120629994353624</v>
      </c>
      <c r="AF17" s="3" t="n">
        <v>0.0057291953391303</v>
      </c>
      <c r="AG17" s="3" t="n">
        <v>0</v>
      </c>
      <c r="AH17" s="168" t="n">
        <v>8.08922920097822E-005</v>
      </c>
      <c r="AI17" s="168" t="n">
        <v>0.0703424701911803</v>
      </c>
      <c r="AJ17" s="168" t="n">
        <v>0.243378651158686</v>
      </c>
      <c r="AK17" s="3" t="n">
        <v>2.64825971014632E-006</v>
      </c>
      <c r="AL17" s="3" t="n">
        <v>8.36516057971674E-007</v>
      </c>
      <c r="AM17" s="3" t="n">
        <v>8.92893913043575E-007</v>
      </c>
      <c r="AN17" s="168" t="n">
        <v>2.11245970686956E-005</v>
      </c>
      <c r="AO17" s="168" t="n">
        <v>1.43689740277535E-005</v>
      </c>
      <c r="AP17" s="168" t="n">
        <v>2.39197068051448E-005</v>
      </c>
      <c r="AQ17" s="168" t="n">
        <v>0.0120954937919928</v>
      </c>
      <c r="AR17" s="168" t="n">
        <v>0.00868896713727528</v>
      </c>
      <c r="AS17" s="168" t="n">
        <v>0.0144137079652099</v>
      </c>
      <c r="AT17" s="168" t="n">
        <v>1.29290036492591E-006</v>
      </c>
      <c r="AU17" s="168" t="n">
        <v>9.04567106519732E-008</v>
      </c>
      <c r="AV17" s="168" t="n">
        <v>1.29274884057648E-006</v>
      </c>
      <c r="AW17" s="168" t="n">
        <v>9.21994212405667E-006</v>
      </c>
      <c r="AX17" s="168" t="n">
        <v>1.25710888927396E-006</v>
      </c>
      <c r="AY17" s="168" t="n">
        <v>4.12136518840992E-008</v>
      </c>
      <c r="AZ17" s="168" t="n">
        <v>6.73015571466903E-007</v>
      </c>
      <c r="BA17" s="168" t="n">
        <v>2.00715835838345E-007</v>
      </c>
      <c r="BB17" s="168" t="n">
        <v>1.58902957729981E-007</v>
      </c>
      <c r="BC17" s="3" t="n">
        <v>1.3299169573249E-007</v>
      </c>
      <c r="BD17" s="3" t="n">
        <v>2.28808809079096E-007</v>
      </c>
      <c r="BE17" s="3" t="n">
        <v>1.09076169470263E-007</v>
      </c>
      <c r="BF17" s="3" t="n">
        <v>0.000393283088432151</v>
      </c>
      <c r="BG17" s="3" t="n">
        <v>7.0534612407304E-005</v>
      </c>
      <c r="BH17" s="3" t="n">
        <v>9.74362886156042E-005</v>
      </c>
      <c r="BI17" s="168" t="n">
        <v>4.80881444970158E-005</v>
      </c>
      <c r="BJ17" s="168" t="n">
        <v>0.000130366736316385</v>
      </c>
      <c r="BK17" s="168" t="n">
        <v>3.82765355207718E-005</v>
      </c>
      <c r="BL17" s="168" t="n">
        <v>2.18504290753684E-006</v>
      </c>
      <c r="BM17" s="168" t="n">
        <v>3.13317997879927E-010</v>
      </c>
      <c r="BN17" s="168" t="n">
        <v>1.699542182E-011</v>
      </c>
      <c r="BO17" s="168" t="n">
        <v>3.59936205731884E-012</v>
      </c>
      <c r="BP17" s="168" t="n">
        <v>8.12326851101449E-012</v>
      </c>
      <c r="BQ17" s="168" t="n">
        <v>1.42735469666666E-011</v>
      </c>
      <c r="BR17" s="168" t="n">
        <v>3.09330517480579E-010</v>
      </c>
      <c r="BS17" s="168" t="n">
        <v>0.000108286731652737</v>
      </c>
      <c r="BT17" s="168" t="n">
        <v>6.0271187126298E-056</v>
      </c>
      <c r="BU17" s="168" t="n">
        <v>9.42488315125273E-059</v>
      </c>
      <c r="BV17" s="168" t="n">
        <v>3.69873993468858E-060</v>
      </c>
      <c r="BW17" s="3" t="n">
        <v>5.25740356024581E-060</v>
      </c>
      <c r="BX17" s="3" t="n">
        <v>6.0468260958822E-059</v>
      </c>
      <c r="BY17" s="3" t="n">
        <v>1.2710631444214E-055</v>
      </c>
      <c r="BZ17" s="169"/>
      <c r="CA17" s="169"/>
      <c r="CB17" s="169"/>
      <c r="CC17" s="169"/>
      <c r="CD17" s="169"/>
      <c r="CE17" s="169"/>
      <c r="CF17" s="169"/>
    </row>
    <row r="18" customFormat="false" ht="12.75" hidden="true" customHeight="false" outlineLevel="0" collapsed="false">
      <c r="A18" s="3" t="n">
        <v>6</v>
      </c>
      <c r="B18" s="3" t="n">
        <v>6.2</v>
      </c>
      <c r="C18" s="3" t="s">
        <v>326</v>
      </c>
      <c r="D18" s="3" t="s">
        <v>220</v>
      </c>
      <c r="E18" s="3" t="n">
        <v>0.04474691967527</v>
      </c>
      <c r="F18" s="3" t="n">
        <v>0.0467914764144918</v>
      </c>
      <c r="G18" s="3" t="n">
        <v>0.0492762051982304</v>
      </c>
      <c r="H18" s="3" t="n">
        <v>0.00223122215929953</v>
      </c>
      <c r="I18" s="168" t="n">
        <v>0.000218220727927102</v>
      </c>
      <c r="J18" s="3" t="n">
        <v>0.0021610238945601</v>
      </c>
      <c r="K18" s="3" t="n">
        <v>0.00930453206883925</v>
      </c>
      <c r="L18" s="3" t="n">
        <v>1.31705472871681E-029</v>
      </c>
      <c r="M18" s="3" t="n">
        <v>0.0355249608978299</v>
      </c>
      <c r="N18" s="3" t="n">
        <v>0</v>
      </c>
      <c r="O18" s="168" t="n">
        <v>0.0133780830144928</v>
      </c>
      <c r="P18" s="3" t="n">
        <v>0</v>
      </c>
      <c r="Q18" s="3" t="n">
        <v>0.0394693854369613</v>
      </c>
      <c r="R18" s="3" t="n">
        <v>9.65840134392334E-029</v>
      </c>
      <c r="S18" s="3" t="n">
        <v>0.00988698931014245</v>
      </c>
      <c r="T18" s="168" t="n">
        <v>0</v>
      </c>
      <c r="U18" s="3" t="n">
        <v>0.0227209382260878</v>
      </c>
      <c r="V18" s="168" t="n">
        <v>0</v>
      </c>
      <c r="W18" s="3" t="n">
        <v>1.4146642492754E-007</v>
      </c>
      <c r="X18" s="168" t="n">
        <v>0.000445894967371157</v>
      </c>
      <c r="Y18" s="3" t="n">
        <v>7.55861814445209E-008</v>
      </c>
      <c r="Z18" s="3" t="n">
        <v>0.0604568692431982</v>
      </c>
      <c r="AA18" s="3" t="n">
        <v>5.46082631245663E-007</v>
      </c>
      <c r="AB18" s="3" t="n">
        <v>0.00145551811772376</v>
      </c>
      <c r="AC18" s="3" t="n">
        <v>0.0110469404057974</v>
      </c>
      <c r="AD18" s="3" t="n">
        <v>0.0016503718768347</v>
      </c>
      <c r="AE18" s="168" t="n">
        <v>0.0220553974492764</v>
      </c>
      <c r="AF18" s="3" t="n">
        <v>0.00572142597970984</v>
      </c>
      <c r="AG18" s="3" t="n">
        <v>0</v>
      </c>
      <c r="AH18" s="168" t="n">
        <v>2.39615626949276E-006</v>
      </c>
      <c r="AI18" s="168" t="n">
        <v>0.000359306788812939</v>
      </c>
      <c r="AJ18" s="168" t="n">
        <v>0.0467914764144918</v>
      </c>
      <c r="AK18" s="3" t="n">
        <v>1.33231084057998E-006</v>
      </c>
      <c r="AL18" s="3" t="n">
        <v>8.99286666663757E-008</v>
      </c>
      <c r="AM18" s="3" t="n">
        <v>1.60903304347543E-007</v>
      </c>
      <c r="AN18" s="168" t="n">
        <v>1.8205807168623E-005</v>
      </c>
      <c r="AO18" s="168" t="n">
        <v>2.42524461956567E-007</v>
      </c>
      <c r="AP18" s="168" t="n">
        <v>2.49717145564491E-005</v>
      </c>
      <c r="AQ18" s="168" t="n">
        <v>0.0104325000981958</v>
      </c>
      <c r="AR18" s="168" t="n">
        <v>0.000142908566253603</v>
      </c>
      <c r="AS18" s="168" t="n">
        <v>0.0147495947294784</v>
      </c>
      <c r="AT18" s="168" t="n">
        <v>1.47908173913275E-009</v>
      </c>
      <c r="AU18" s="168" t="n">
        <v>2.00750393478501E-008</v>
      </c>
      <c r="AV18" s="168" t="n">
        <v>2.52127471008769E-009</v>
      </c>
      <c r="AW18" s="168" t="n">
        <v>6.66049575581248E-007</v>
      </c>
      <c r="AX18" s="168" t="n">
        <v>2.69569384076337E-009</v>
      </c>
      <c r="AY18" s="168" t="n">
        <v>7.1193575362541E-008</v>
      </c>
      <c r="AZ18" s="168" t="n">
        <v>3.87069339230163E-007</v>
      </c>
      <c r="BA18" s="168" t="n">
        <v>1.26713434305701E-007</v>
      </c>
      <c r="BB18" s="168" t="n">
        <v>1.77368233801283E-007</v>
      </c>
      <c r="BC18" s="3" t="n">
        <v>9.50923963837704E-008</v>
      </c>
      <c r="BD18" s="3" t="n">
        <v>8.62438844538047E-008</v>
      </c>
      <c r="BE18" s="3" t="n">
        <v>1.21659831362036E-007</v>
      </c>
      <c r="BF18" s="3" t="n">
        <v>0.000231566318589764</v>
      </c>
      <c r="BG18" s="3" t="n">
        <v>4.43637721380472E-005</v>
      </c>
      <c r="BH18" s="3" t="n">
        <v>0.000106183617536784</v>
      </c>
      <c r="BI18" s="168" t="n">
        <v>3.28054506718388E-005</v>
      </c>
      <c r="BJ18" s="168" t="n">
        <v>5.16294531942259E-005</v>
      </c>
      <c r="BK18" s="168" t="n">
        <v>4.30779422174254E-005</v>
      </c>
      <c r="BL18" s="168" t="n">
        <v>3.02348532610395E-008</v>
      </c>
      <c r="BM18" s="168" t="n">
        <v>5.39380573913047E-013</v>
      </c>
      <c r="BN18" s="168" t="n">
        <v>1.01970034521739E-012</v>
      </c>
      <c r="BO18" s="168" t="n">
        <v>5.74244654347824E-014</v>
      </c>
      <c r="BP18" s="168" t="n">
        <v>3.10376609782608E-013</v>
      </c>
      <c r="BQ18" s="168" t="n">
        <v>9.75461921086955E-013</v>
      </c>
      <c r="BR18" s="168" t="n">
        <v>8.76781891521742E-013</v>
      </c>
      <c r="BS18" s="168" t="n">
        <v>1.49865702632266E-006</v>
      </c>
      <c r="BT18" s="168" t="n">
        <v>2.59590943607634E-058</v>
      </c>
      <c r="BU18" s="168" t="n">
        <v>3.20993676512264E-059</v>
      </c>
      <c r="BV18" s="168" t="n">
        <v>4.10378668221634E-061</v>
      </c>
      <c r="BW18" s="3" t="n">
        <v>3.68510860275564E-060</v>
      </c>
      <c r="BX18" s="3" t="n">
        <v>6.94235811794618E-060</v>
      </c>
      <c r="BY18" s="3" t="n">
        <v>6.07462118247487E-058</v>
      </c>
      <c r="BZ18" s="169"/>
      <c r="CA18" s="169"/>
      <c r="CB18" s="169"/>
      <c r="CC18" s="169"/>
      <c r="CD18" s="169"/>
      <c r="CE18" s="169"/>
      <c r="CF18" s="169"/>
    </row>
    <row r="19" customFormat="false" ht="12.75" hidden="true" customHeight="false" outlineLevel="0" collapsed="false">
      <c r="A19" s="3" t="n">
        <v>6</v>
      </c>
      <c r="B19" s="3" t="n">
        <v>6.2</v>
      </c>
      <c r="C19" s="3" t="s">
        <v>327</v>
      </c>
      <c r="D19" s="3" t="s">
        <v>220</v>
      </c>
      <c r="E19" s="3" t="n">
        <v>0.031450585716399</v>
      </c>
      <c r="F19" s="3" t="n">
        <v>0.0273781878195682</v>
      </c>
      <c r="G19" s="3" t="n">
        <v>0.0239627349541212</v>
      </c>
      <c r="H19" s="3" t="n">
        <v>0.000974254838265984</v>
      </c>
      <c r="I19" s="168" t="n">
        <v>0.00050010968344454</v>
      </c>
      <c r="J19" s="3" t="n">
        <v>0.00161826784598892</v>
      </c>
      <c r="K19" s="3" t="n">
        <v>0.0046428989797099</v>
      </c>
      <c r="L19" s="3" t="n">
        <v>2.08533665380163E-029</v>
      </c>
      <c r="M19" s="3" t="n">
        <v>0.0141442038775355</v>
      </c>
      <c r="N19" s="3" t="n">
        <v>0</v>
      </c>
      <c r="O19" s="168" t="n">
        <v>0.0051759253731895</v>
      </c>
      <c r="P19" s="3" t="n">
        <v>0</v>
      </c>
      <c r="Q19" s="3" t="n">
        <v>0.0188640980282621</v>
      </c>
      <c r="R19" s="3" t="n">
        <v>1.40485837729794E-028</v>
      </c>
      <c r="S19" s="3" t="n">
        <v>0.00595223306014481</v>
      </c>
      <c r="T19" s="3" t="n">
        <v>0</v>
      </c>
      <c r="U19" s="3" t="n">
        <v>0.0142988414021733</v>
      </c>
      <c r="V19" s="3" t="n">
        <v>0</v>
      </c>
      <c r="W19" s="3" t="n">
        <v>8.60744939412971E-008</v>
      </c>
      <c r="X19" s="3" t="n">
        <v>0.000178178105821316</v>
      </c>
      <c r="Y19" s="3" t="n">
        <v>7.12440595951289E-008</v>
      </c>
      <c r="Z19" s="3" t="n">
        <v>0.0301980835786423</v>
      </c>
      <c r="AA19" s="3" t="n">
        <v>1.06736523738405E-007</v>
      </c>
      <c r="AB19" s="3" t="n">
        <v>0.000525616191661153</v>
      </c>
      <c r="AC19" s="3" t="n">
        <v>0.00368771493840571</v>
      </c>
      <c r="AD19" s="3" t="n">
        <v>0.0013590437928747</v>
      </c>
      <c r="AE19" s="3" t="n">
        <v>0.0116608058057968</v>
      </c>
      <c r="AF19" s="3" t="n">
        <v>0.00335120394710102</v>
      </c>
      <c r="AG19" s="3" t="n">
        <v>0</v>
      </c>
      <c r="AH19" s="3" t="n">
        <v>4.45892531521713E-007</v>
      </c>
      <c r="AI19" s="168" t="n">
        <v>0.000148401637046903</v>
      </c>
      <c r="AJ19" s="168" t="n">
        <v>0.0273781878195682</v>
      </c>
      <c r="AK19" s="3" t="n">
        <v>1.427341449276E-007</v>
      </c>
      <c r="AL19" s="3" t="n">
        <v>6.21677391305264E-008</v>
      </c>
      <c r="AM19" s="3" t="n">
        <v>6.87178478263592E-008</v>
      </c>
      <c r="AN19" s="3" t="n">
        <v>5.80207726347815E-006</v>
      </c>
      <c r="AO19" s="3" t="n">
        <v>2.61653782840592E-006</v>
      </c>
      <c r="AP19" s="3" t="n">
        <v>7.39995006021728E-006</v>
      </c>
      <c r="AQ19" s="168" t="n">
        <v>0.00343648037964491</v>
      </c>
      <c r="AR19" s="3" t="n">
        <v>0.00155263483652174</v>
      </c>
      <c r="AS19" s="168" t="n">
        <v>0.00437235594277544</v>
      </c>
      <c r="AT19" s="3" t="n">
        <v>1.33014260864573E-009</v>
      </c>
      <c r="AU19" s="3" t="n">
        <v>3.03444590576433E-008</v>
      </c>
      <c r="AV19" s="3" t="n">
        <v>2.00630891296778E-009</v>
      </c>
      <c r="AW19" s="3" t="n">
        <v>9.96327059066134E-006</v>
      </c>
      <c r="AX19" s="3" t="n">
        <v>1.35395449279306E-009</v>
      </c>
      <c r="AY19" s="3" t="n">
        <v>4.38113489129746E-008</v>
      </c>
      <c r="AZ19" s="3" t="n">
        <v>5.21033111340447E-007</v>
      </c>
      <c r="BA19" s="3" t="n">
        <v>9.38018775327621E-008</v>
      </c>
      <c r="BB19" s="3" t="n">
        <v>2.33697347928694E-007</v>
      </c>
      <c r="BC19" s="3" t="n">
        <v>5.08960803347937E-007</v>
      </c>
      <c r="BD19" s="3" t="n">
        <v>1.13714723690954E-007</v>
      </c>
      <c r="BE19" s="3" t="n">
        <v>1.91844472999103E-007</v>
      </c>
      <c r="BF19" s="3" t="n">
        <v>0.000311850693752323</v>
      </c>
      <c r="BG19" s="3" t="n">
        <v>3.31035143813376E-005</v>
      </c>
      <c r="BH19" s="3" t="n">
        <v>0.000139897754149042</v>
      </c>
      <c r="BI19" s="3" t="n">
        <v>0.000169731991416416</v>
      </c>
      <c r="BJ19" s="168" t="n">
        <v>6.7992895231103E-005</v>
      </c>
      <c r="BK19" s="168" t="n">
        <v>6.72268691674633E-005</v>
      </c>
      <c r="BL19" s="168" t="n">
        <v>6.11301631886189E-008</v>
      </c>
      <c r="BM19" s="168" t="n">
        <v>8.47537121086952E-013</v>
      </c>
      <c r="BN19" s="168" t="n">
        <v>4.41183513043477E-013</v>
      </c>
      <c r="BO19" s="168" t="n">
        <v>1.78974443405797E-013</v>
      </c>
      <c r="BP19" s="3" t="n">
        <v>2.88644380797101E-013</v>
      </c>
      <c r="BQ19" s="3" t="n">
        <v>2.22926148405797E-013</v>
      </c>
      <c r="BR19" s="3" t="n">
        <v>1.20433504318841E-012</v>
      </c>
      <c r="BS19" s="3" t="n">
        <v>3.03054841316863E-006</v>
      </c>
      <c r="BT19" s="3" t="n">
        <v>4.13285505272075E-058</v>
      </c>
      <c r="BU19" s="3" t="n">
        <v>1.53423349104182E-059</v>
      </c>
      <c r="BV19" s="3" t="n">
        <v>8.32864520210897E-061</v>
      </c>
      <c r="BW19" s="3" t="n">
        <v>3.73965192585094E-060</v>
      </c>
      <c r="BX19" s="3" t="n">
        <v>6.1578465804771E-061</v>
      </c>
      <c r="BY19" s="3" t="n">
        <v>8.28047526461287E-058</v>
      </c>
      <c r="BZ19" s="169"/>
      <c r="CA19" s="169"/>
      <c r="CB19" s="169"/>
      <c r="CC19" s="169"/>
      <c r="CD19" s="169"/>
      <c r="CE19" s="169"/>
      <c r="CF19" s="169"/>
    </row>
    <row r="20" customFormat="false" ht="12.75" hidden="true" customHeight="false" outlineLevel="0" collapsed="false">
      <c r="A20" s="3" t="n">
        <v>6</v>
      </c>
      <c r="B20" s="3" t="n">
        <v>6.3</v>
      </c>
      <c r="C20" s="3" t="s">
        <v>328</v>
      </c>
      <c r="D20" s="3" t="s">
        <v>220</v>
      </c>
      <c r="E20" s="3" t="n">
        <v>0.192587534630778</v>
      </c>
      <c r="F20" s="3" t="n">
        <v>0.177780601042777</v>
      </c>
      <c r="G20" s="3" t="n">
        <v>0.0933443789565438</v>
      </c>
      <c r="H20" s="3" t="n">
        <v>0.00225615733077566</v>
      </c>
      <c r="I20" s="168" t="n">
        <v>0.337648476464597</v>
      </c>
      <c r="J20" s="3" t="n">
        <v>0.357780772413476</v>
      </c>
      <c r="K20" s="3" t="n">
        <v>0.0149291616927543</v>
      </c>
      <c r="L20" s="3" t="n">
        <v>1.31705472871681E-029</v>
      </c>
      <c r="M20" s="3" t="n">
        <v>0.042369380764493</v>
      </c>
      <c r="N20" s="3" t="n">
        <v>0</v>
      </c>
      <c r="O20" s="168" t="n">
        <v>0.0139520663652162</v>
      </c>
      <c r="P20" s="3" t="n">
        <v>0</v>
      </c>
      <c r="Q20" s="3" t="n">
        <v>0.0431796732340587</v>
      </c>
      <c r="R20" s="3" t="n">
        <v>2.10728756594691E-028</v>
      </c>
      <c r="S20" s="3" t="n">
        <v>0.0148208371449261</v>
      </c>
      <c r="T20" s="168" t="n">
        <v>0</v>
      </c>
      <c r="U20" s="168" t="n">
        <v>0.0455575824231832</v>
      </c>
      <c r="V20" s="168" t="n">
        <v>0</v>
      </c>
      <c r="W20" s="3" t="n">
        <v>3.52665541956442E-007</v>
      </c>
      <c r="X20" s="168" t="n">
        <v>7.81785402938455E-005</v>
      </c>
      <c r="Y20" s="3" t="n">
        <v>9.008563275645E-007</v>
      </c>
      <c r="Z20" s="3" t="n">
        <v>0.000309182463688975</v>
      </c>
      <c r="AA20" s="168" t="n">
        <v>1.91729073905785E-006</v>
      </c>
      <c r="AB20" s="168" t="n">
        <v>0.000164314953747751</v>
      </c>
      <c r="AC20" s="3" t="n">
        <v>0.0202127987101456</v>
      </c>
      <c r="AD20" s="3" t="n">
        <v>0.00361917748671735</v>
      </c>
      <c r="AE20" s="168" t="n">
        <v>0.0891736885449246</v>
      </c>
      <c r="AF20" s="168" t="n">
        <v>0.00876439471231889</v>
      </c>
      <c r="AG20" s="168" t="n">
        <v>0</v>
      </c>
      <c r="AH20" s="168" t="n">
        <v>6.07880559471031E-006</v>
      </c>
      <c r="AI20" s="168" t="n">
        <v>0.000320984703174633</v>
      </c>
      <c r="AJ20" s="168" t="n">
        <v>0.177780601042777</v>
      </c>
      <c r="AK20" s="3" t="n">
        <v>0.00154888713286953</v>
      </c>
      <c r="AL20" s="3" t="n">
        <v>5.31471231888007E-008</v>
      </c>
      <c r="AM20" s="3" t="n">
        <v>9.82892753623336E-008</v>
      </c>
      <c r="AN20" s="168" t="n">
        <v>5.98025928657961E-005</v>
      </c>
      <c r="AO20" s="168" t="n">
        <v>2.66269933697823E-005</v>
      </c>
      <c r="AP20" s="168" t="n">
        <v>1.72613765228264E-005</v>
      </c>
      <c r="AQ20" s="3" t="n">
        <v>0.0529916906997971</v>
      </c>
      <c r="AR20" s="3" t="n">
        <v>0.0156667596461448</v>
      </c>
      <c r="AS20" s="3" t="n">
        <v>0.0101254547759999</v>
      </c>
      <c r="AT20" s="3" t="n">
        <v>2.64893036230519E-009</v>
      </c>
      <c r="AU20" s="3" t="n">
        <v>1.80452786717653E-006</v>
      </c>
      <c r="AV20" s="3" t="n">
        <v>2.37353739125052E-009</v>
      </c>
      <c r="AW20" s="3" t="n">
        <v>2.01696843826078E-005</v>
      </c>
      <c r="AX20" s="3" t="n">
        <v>4.61550086304405E-007</v>
      </c>
      <c r="AY20" s="3" t="n">
        <v>2.82060243449118E-006</v>
      </c>
      <c r="AZ20" s="3" t="n">
        <v>1.8094720583194E-007</v>
      </c>
      <c r="BA20" s="168" t="n">
        <v>4.30634564661232E-007</v>
      </c>
      <c r="BB20" s="168" t="n">
        <v>9.43783659940981E-007</v>
      </c>
      <c r="BC20" s="3" t="n">
        <v>4.59116614516555E-007</v>
      </c>
      <c r="BD20" s="3" t="n">
        <v>1.72011974589979E-005</v>
      </c>
      <c r="BE20" s="3" t="n">
        <v>2.72653738809153E-005</v>
      </c>
      <c r="BF20" s="3" t="n">
        <v>0.000107293411430115</v>
      </c>
      <c r="BG20" s="3" t="n">
        <v>0.000215002615801637</v>
      </c>
      <c r="BH20" s="3" t="n">
        <v>0.000558135250849372</v>
      </c>
      <c r="BI20" s="168" t="n">
        <v>0.000414723778160544</v>
      </c>
      <c r="BJ20" s="168" t="n">
        <v>0.00997869462649537</v>
      </c>
      <c r="BK20" s="168" t="n">
        <v>0.00875138093389575</v>
      </c>
      <c r="BL20" s="168" t="n">
        <v>4.57219889132191E-008</v>
      </c>
      <c r="BM20" s="168" t="n">
        <v>1.23893771015635E-008</v>
      </c>
      <c r="BN20" s="168" t="n">
        <v>1.4718383478025E-008</v>
      </c>
      <c r="BO20" s="168" t="n">
        <v>7.41874675363709E-008</v>
      </c>
      <c r="BP20" s="168" t="n">
        <v>8.16507053121666E-010</v>
      </c>
      <c r="BQ20" s="168" t="n">
        <v>6.67680224881087E-010</v>
      </c>
      <c r="BR20" s="168" t="n">
        <v>5.17004837227753E-010</v>
      </c>
      <c r="BS20" s="168" t="n">
        <v>2.25149551765195E-006</v>
      </c>
      <c r="BT20" s="168" t="n">
        <v>6.07314272106867E-007</v>
      </c>
      <c r="BU20" s="168" t="n">
        <v>7.33132314021874E-007</v>
      </c>
      <c r="BV20" s="168" t="n">
        <v>3.37418813203583E-006</v>
      </c>
      <c r="BW20" s="3" t="n">
        <v>9.40376676675271E-055</v>
      </c>
      <c r="BX20" s="3" t="n">
        <v>1.22026991255441E-054</v>
      </c>
      <c r="BY20" s="3" t="n">
        <v>1.21738232011349E-054</v>
      </c>
      <c r="BZ20" s="169"/>
      <c r="CA20" s="169"/>
      <c r="CB20" s="169"/>
      <c r="CC20" s="169"/>
      <c r="CD20" s="169"/>
      <c r="CE20" s="169"/>
      <c r="CF20" s="169"/>
    </row>
    <row r="21" customFormat="false" ht="12.75" hidden="true" customHeight="false" outlineLevel="0" collapsed="false">
      <c r="A21" s="3" t="n">
        <v>6</v>
      </c>
      <c r="B21" s="3" t="n">
        <v>6.3</v>
      </c>
      <c r="C21" s="3" t="s">
        <v>329</v>
      </c>
      <c r="D21" s="3" t="s">
        <v>220</v>
      </c>
      <c r="E21" s="3" t="n">
        <v>0.205350560438236</v>
      </c>
      <c r="F21" s="168" t="n">
        <v>0.183728810469586</v>
      </c>
      <c r="G21" s="3" t="n">
        <v>0.252865251466688</v>
      </c>
      <c r="H21" s="3" t="n">
        <v>0.00135903997214471</v>
      </c>
      <c r="I21" s="168" t="n">
        <v>0.0246714106224467</v>
      </c>
      <c r="J21" s="3" t="n">
        <v>0.0257886566149625</v>
      </c>
      <c r="K21" s="3" t="n">
        <v>0.00841054062318958</v>
      </c>
      <c r="L21" s="3" t="n">
        <v>1.75607297162242E-029</v>
      </c>
      <c r="M21" s="3" t="n">
        <v>0.0219566427470968</v>
      </c>
      <c r="N21" s="3" t="n">
        <v>0</v>
      </c>
      <c r="O21" s="168" t="n">
        <v>0.00575255099999864</v>
      </c>
      <c r="P21" s="3" t="n">
        <v>0</v>
      </c>
      <c r="Q21" s="3" t="n">
        <v>0.0173841759934746</v>
      </c>
      <c r="R21" s="3" t="n">
        <v>2.10728756594691E-028</v>
      </c>
      <c r="S21" s="3" t="n">
        <v>0.00734458389275201</v>
      </c>
      <c r="T21" s="168" t="n">
        <v>0</v>
      </c>
      <c r="U21" s="168" t="n">
        <v>0.0251746188058009</v>
      </c>
      <c r="V21" s="168" t="n">
        <v>0</v>
      </c>
      <c r="W21" s="168" t="n">
        <v>4.18134462318829E-007</v>
      </c>
      <c r="X21" s="168" t="n">
        <v>3.88432627901649E-005</v>
      </c>
      <c r="Y21" s="3" t="n">
        <v>3.05852432800001E-007</v>
      </c>
      <c r="Z21" s="3" t="n">
        <v>0.000223593401425692</v>
      </c>
      <c r="AA21" s="168" t="n">
        <v>1.08974585557967E-006</v>
      </c>
      <c r="AB21" s="168" t="n">
        <v>2.37361224775323E-005</v>
      </c>
      <c r="AC21" s="3" t="n">
        <v>0.018255524127536</v>
      </c>
      <c r="AD21" s="3" t="n">
        <v>0.00459135371823187</v>
      </c>
      <c r="AE21" s="168" t="n">
        <v>0.0837973814144949</v>
      </c>
      <c r="AF21" s="168" t="n">
        <v>0.00430817370362282</v>
      </c>
      <c r="AG21" s="168" t="n">
        <v>0</v>
      </c>
      <c r="AH21" s="168" t="n">
        <v>4.01243570782633E-006</v>
      </c>
      <c r="AI21" s="168" t="n">
        <v>0.000274848185583252</v>
      </c>
      <c r="AJ21" s="168" t="n">
        <v>0.183728810469586</v>
      </c>
      <c r="AK21" s="3" t="n">
        <v>0.00180307354689136</v>
      </c>
      <c r="AL21" s="3" t="n">
        <v>1.7261536231775E-008</v>
      </c>
      <c r="AM21" s="3" t="n">
        <v>7.51932101447751E-008</v>
      </c>
      <c r="AN21" s="168" t="n">
        <v>0.000113578023092102</v>
      </c>
      <c r="AO21" s="168" t="n">
        <v>3.05803794521728E-006</v>
      </c>
      <c r="AP21" s="168" t="n">
        <v>5.36915462253631E-006</v>
      </c>
      <c r="AQ21" s="168" t="n">
        <v>0.0952684163453623</v>
      </c>
      <c r="AR21" s="168" t="n">
        <v>0.00179700690781879</v>
      </c>
      <c r="AS21" s="168" t="n">
        <v>0.00313723371814497</v>
      </c>
      <c r="AT21" s="168" t="n">
        <v>7.96798253636103E-009</v>
      </c>
      <c r="AU21" s="168" t="n">
        <v>2.89067005216583E-007</v>
      </c>
      <c r="AV21" s="168" t="n">
        <v>6.15102492762076E-009</v>
      </c>
      <c r="AW21" s="168" t="n">
        <v>4.18933001087065E-007</v>
      </c>
      <c r="AX21" s="168" t="n">
        <v>8.82889838839363E-007</v>
      </c>
      <c r="AY21" s="168" t="n">
        <v>4.32904950956634E-006</v>
      </c>
      <c r="AZ21" s="168" t="n">
        <v>1.60354418894563E-007</v>
      </c>
      <c r="BA21" s="168" t="n">
        <v>1.39418297659441E-007</v>
      </c>
      <c r="BB21" s="168" t="n">
        <v>2.2702044327339E-007</v>
      </c>
      <c r="BC21" s="168" t="n">
        <v>1.86488715923286E-007</v>
      </c>
      <c r="BD21" s="168" t="n">
        <v>6.81162151668062E-005</v>
      </c>
      <c r="BE21" s="168" t="n">
        <v>0.000102425794833685</v>
      </c>
      <c r="BF21" s="168" t="n">
        <v>9.42660666100665E-005</v>
      </c>
      <c r="BG21" s="168" t="n">
        <v>5.28403477618059E-005</v>
      </c>
      <c r="BH21" s="168" t="n">
        <v>0.000133599313256074</v>
      </c>
      <c r="BI21" s="168" t="n">
        <v>6.22055578606282E-005</v>
      </c>
      <c r="BJ21" s="168" t="n">
        <v>0.0398777270328968</v>
      </c>
      <c r="BK21" s="168" t="n">
        <v>0.0333139078283146</v>
      </c>
      <c r="BL21" s="168" t="n">
        <v>1.073213731906E-008</v>
      </c>
      <c r="BM21" s="168" t="n">
        <v>1.32227756523246E-008</v>
      </c>
      <c r="BN21" s="168" t="n">
        <v>9.1586469567532E-009</v>
      </c>
      <c r="BO21" s="168" t="n">
        <v>9.56065731867999E-009</v>
      </c>
      <c r="BP21" s="168" t="n">
        <v>6.76233922144928E-011</v>
      </c>
      <c r="BQ21" s="168" t="n">
        <v>1.11733914660145E-011</v>
      </c>
      <c r="BR21" s="168" t="n">
        <v>5.89626314405797E-012</v>
      </c>
      <c r="BS21" s="168" t="n">
        <v>5.28504058269216E-007</v>
      </c>
      <c r="BT21" s="168" t="n">
        <v>6.48160023409522E-007</v>
      </c>
      <c r="BU21" s="168" t="n">
        <v>4.56210410537487E-007</v>
      </c>
      <c r="BV21" s="168" t="n">
        <v>4.34871908761898E-007</v>
      </c>
      <c r="BW21" s="3" t="n">
        <v>7.28840832414599E-056</v>
      </c>
      <c r="BX21" s="3" t="n">
        <v>2.97487089681346E-056</v>
      </c>
      <c r="BY21" s="3" t="n">
        <v>1.75660418121296E-056</v>
      </c>
      <c r="BZ21" s="169"/>
      <c r="CA21" s="169"/>
      <c r="CB21" s="169"/>
      <c r="CC21" s="169"/>
      <c r="CD21" s="169"/>
      <c r="CE21" s="169"/>
      <c r="CF21" s="169"/>
    </row>
    <row r="22" customFormat="false" ht="12.75" hidden="true" customHeight="false" outlineLevel="0" collapsed="false">
      <c r="A22" s="3" t="n">
        <v>6</v>
      </c>
      <c r="B22" s="3" t="n">
        <v>6.3</v>
      </c>
      <c r="C22" s="3" t="s">
        <v>330</v>
      </c>
      <c r="D22" s="3" t="s">
        <v>220</v>
      </c>
      <c r="E22" s="3" t="n">
        <v>0.00318833461321006</v>
      </c>
      <c r="F22" s="168" t="n">
        <v>0.00165288909492688</v>
      </c>
      <c r="G22" s="3" t="n">
        <v>0.00248053273554863</v>
      </c>
      <c r="H22" s="3" t="n">
        <v>0.00231325362045698</v>
      </c>
      <c r="I22" s="168" t="n">
        <v>0.00157222315676743</v>
      </c>
      <c r="J22" s="3" t="n">
        <v>0.0045798227519896</v>
      </c>
      <c r="K22" s="3" t="n">
        <v>0.0145708116608685</v>
      </c>
      <c r="L22" s="3" t="n">
        <v>1.31705472871681E-029</v>
      </c>
      <c r="M22" s="3" t="n">
        <v>0.0442665594427525</v>
      </c>
      <c r="N22" s="3" t="n">
        <v>0</v>
      </c>
      <c r="O22" s="168" t="n">
        <v>0.0145478828608706</v>
      </c>
      <c r="P22" s="3" t="n">
        <v>0</v>
      </c>
      <c r="Q22" s="3" t="n">
        <v>0.0454621235101459</v>
      </c>
      <c r="R22" s="3" t="n">
        <v>2.10728756594691E-028</v>
      </c>
      <c r="S22" s="3" t="n">
        <v>0.0160751182144933</v>
      </c>
      <c r="T22" s="168" t="n">
        <v>0</v>
      </c>
      <c r="U22" s="168" t="n">
        <v>0.0458590564688334</v>
      </c>
      <c r="V22" s="168" t="n">
        <v>0</v>
      </c>
      <c r="W22" s="168" t="n">
        <v>3.89954884058099E-008</v>
      </c>
      <c r="X22" s="168" t="n">
        <v>6.37669821319496E-005</v>
      </c>
      <c r="Y22" s="3" t="n">
        <v>6.61198968727539E-007</v>
      </c>
      <c r="Z22" s="3" t="n">
        <v>0.000462566519548584</v>
      </c>
      <c r="AA22" s="168" t="n">
        <v>6.32969247536214E-007</v>
      </c>
      <c r="AB22" s="168" t="n">
        <v>0.000104450706580239</v>
      </c>
      <c r="AC22" s="3" t="n">
        <v>0.00923567748912992</v>
      </c>
      <c r="AD22" s="3" t="n">
        <v>0.00272290381263032</v>
      </c>
      <c r="AE22" s="168" t="n">
        <v>0.00110560270144901</v>
      </c>
      <c r="AF22" s="168" t="n">
        <v>0.00948924895000038</v>
      </c>
      <c r="AG22" s="168" t="n">
        <v>0</v>
      </c>
      <c r="AH22" s="168" t="n">
        <v>1.50722114173932E-006</v>
      </c>
      <c r="AI22" s="168" t="n">
        <v>0.000277024043148757</v>
      </c>
      <c r="AJ22" s="168" t="n">
        <v>0.00165288909492688</v>
      </c>
      <c r="AK22" s="3" t="n">
        <v>4.69550187826023E-005</v>
      </c>
      <c r="AL22" s="3" t="n">
        <v>3.17603405795527E-008</v>
      </c>
      <c r="AM22" s="3" t="n">
        <v>1.5116492753671E-008</v>
      </c>
      <c r="AN22" s="168" t="n">
        <v>1.35393116521734E-007</v>
      </c>
      <c r="AO22" s="168" t="n">
        <v>4.03645457101444E-007</v>
      </c>
      <c r="AP22" s="168" t="n">
        <v>2.43389136666668E-006</v>
      </c>
      <c r="AQ22" s="168" t="n">
        <v>0.000271670827239145</v>
      </c>
      <c r="AR22" s="168" t="n">
        <v>0.000241858543818856</v>
      </c>
      <c r="AS22" s="168" t="n">
        <v>0.00142714619405797</v>
      </c>
      <c r="AT22" s="168" t="n">
        <v>4.11366231893208E-009</v>
      </c>
      <c r="AU22" s="168" t="n">
        <v>6.13683125144054E-007</v>
      </c>
      <c r="AV22" s="168" t="n">
        <v>2.30830949277835E-009</v>
      </c>
      <c r="AW22" s="168" t="n">
        <v>2.06002640578044E-008</v>
      </c>
      <c r="AX22" s="168" t="n">
        <v>2.56332277101699E-007</v>
      </c>
      <c r="AY22" s="168" t="n">
        <v>5.85070094782483E-007</v>
      </c>
      <c r="AZ22" s="168" t="n">
        <v>1.46826782827196E-007</v>
      </c>
      <c r="BA22" s="168" t="n">
        <v>1.49963403198465E-007</v>
      </c>
      <c r="BB22" s="168" t="n">
        <v>2.84375655713386E-007</v>
      </c>
      <c r="BC22" s="168" t="n">
        <v>2.0208846723428E-007</v>
      </c>
      <c r="BD22" s="168" t="n">
        <v>1.00617443764533E-006</v>
      </c>
      <c r="BE22" s="168" t="n">
        <v>2.84746187613776E-006</v>
      </c>
      <c r="BF22" s="168" t="n">
        <v>8.75756818279939E-005</v>
      </c>
      <c r="BG22" s="168" t="n">
        <v>6.58772637121286E-005</v>
      </c>
      <c r="BH22" s="168" t="n">
        <v>0.000168186604163638</v>
      </c>
      <c r="BI22" s="168" t="n">
        <v>6.60995528063447E-005</v>
      </c>
      <c r="BJ22" s="168" t="n">
        <v>0.000622183973455297</v>
      </c>
      <c r="BK22" s="168" t="n">
        <v>0.000928278934961462</v>
      </c>
      <c r="BL22" s="168" t="n">
        <v>4.58314021758233E-009</v>
      </c>
      <c r="BM22" s="168" t="n">
        <v>2.93879471013631E-009</v>
      </c>
      <c r="BN22" s="168" t="n">
        <v>3.86753623197501E-009</v>
      </c>
      <c r="BO22" s="168" t="n">
        <v>2.59115797099578E-009</v>
      </c>
      <c r="BP22" s="168" t="n">
        <v>1.07823749512318E-011</v>
      </c>
      <c r="BQ22" s="168" t="n">
        <v>4.03042312231885E-012</v>
      </c>
      <c r="BR22" s="168" t="n">
        <v>1.96741632166667E-012</v>
      </c>
      <c r="BS22" s="168" t="n">
        <v>2.25696725888054E-007</v>
      </c>
      <c r="BT22" s="168" t="n">
        <v>1.44053613242293E-007</v>
      </c>
      <c r="BU22" s="168" t="n">
        <v>1.92648381694462E-007</v>
      </c>
      <c r="BV22" s="168" t="n">
        <v>1.17860605209408E-007</v>
      </c>
      <c r="BW22" s="3" t="n">
        <v>6.47135489252356E-057</v>
      </c>
      <c r="BX22" s="3" t="n">
        <v>1.03179783032761E-056</v>
      </c>
      <c r="BY22" s="3" t="n">
        <v>5.41571948862008E-057</v>
      </c>
      <c r="BZ22" s="169"/>
      <c r="CA22" s="169"/>
      <c r="CB22" s="169"/>
      <c r="CC22" s="169"/>
      <c r="CD22" s="169"/>
      <c r="CE22" s="169"/>
      <c r="CF22" s="169"/>
    </row>
    <row r="23" customFormat="false" ht="12.75" hidden="true" customHeight="false" outlineLevel="0" collapsed="false">
      <c r="A23" s="3" t="n">
        <v>6</v>
      </c>
      <c r="B23" s="3" t="n">
        <v>6.4</v>
      </c>
      <c r="C23" s="3" t="s">
        <v>331</v>
      </c>
      <c r="D23" s="3" t="s">
        <v>220</v>
      </c>
      <c r="E23" s="3" t="n">
        <v>3.37783781108929</v>
      </c>
      <c r="F23" s="3" t="n">
        <v>3.31352451915875</v>
      </c>
      <c r="G23" s="3" t="n">
        <v>0.185459489656112</v>
      </c>
      <c r="H23" s="3" t="n">
        <v>0.00127622133373193</v>
      </c>
      <c r="I23" s="3" t="n">
        <v>4.72211685171819</v>
      </c>
      <c r="J23" s="168" t="n">
        <v>4.78867747863912</v>
      </c>
      <c r="K23" s="3" t="n">
        <v>0.0156025695470998</v>
      </c>
      <c r="L23" s="3" t="n">
        <v>1.31705472871681E-029</v>
      </c>
      <c r="M23" s="3" t="n">
        <v>0.0641957381188425</v>
      </c>
      <c r="N23" s="3" t="n">
        <v>0</v>
      </c>
      <c r="O23" s="168" t="n">
        <v>0.0281805188166662</v>
      </c>
      <c r="P23" s="168" t="n">
        <v>0</v>
      </c>
      <c r="Q23" s="3" t="n">
        <v>0.08579161029275</v>
      </c>
      <c r="R23" s="3" t="n">
        <v>2.10728756594691E-028</v>
      </c>
      <c r="S23" s="168" t="n">
        <v>0.0213173255992766</v>
      </c>
      <c r="T23" s="168" t="n">
        <v>0</v>
      </c>
      <c r="U23" s="168" t="n">
        <v>0.0454284772688431</v>
      </c>
      <c r="V23" s="168" t="n">
        <v>0</v>
      </c>
      <c r="W23" s="168" t="n">
        <v>5.65905613905795E-006</v>
      </c>
      <c r="X23" s="168" t="n">
        <v>0.000102431887358572</v>
      </c>
      <c r="Y23" s="3" t="n">
        <v>1.08657535337274E-005</v>
      </c>
      <c r="Z23" s="168" t="n">
        <v>0.00013888804783719</v>
      </c>
      <c r="AA23" s="168" t="n">
        <v>3.21895875477548E-005</v>
      </c>
      <c r="AB23" s="3" t="n">
        <v>8.93130400021191E-005</v>
      </c>
      <c r="AC23" s="168" t="n">
        <v>0.07844089741449</v>
      </c>
      <c r="AD23" s="168" t="n">
        <v>0.0887044260598169</v>
      </c>
      <c r="AE23" s="168" t="n">
        <v>1.6267769120514</v>
      </c>
      <c r="AF23" s="168" t="n">
        <v>0.0129409031818852</v>
      </c>
      <c r="AG23" s="168" t="n">
        <v>0</v>
      </c>
      <c r="AH23" s="168" t="n">
        <v>0.000114086165689277</v>
      </c>
      <c r="AI23" s="168" t="n">
        <v>0.00120684328641355</v>
      </c>
      <c r="AJ23" s="168" t="n">
        <v>3.31352451915875</v>
      </c>
      <c r="AK23" s="3" t="n">
        <v>5.60517249275083E-006</v>
      </c>
      <c r="AL23" s="3" t="n">
        <v>3.09283992753333E-007</v>
      </c>
      <c r="AM23" s="3" t="n">
        <v>2.35384231883927E-007</v>
      </c>
      <c r="AN23" s="168" t="n">
        <v>3.47881155571012E-005</v>
      </c>
      <c r="AO23" s="168" t="n">
        <v>4.74428527877535E-005</v>
      </c>
      <c r="AP23" s="168" t="n">
        <v>3.68446688103622E-005</v>
      </c>
      <c r="AQ23" s="168" t="n">
        <v>0.0193482174646667</v>
      </c>
      <c r="AR23" s="168" t="n">
        <v>0.0276288457319929</v>
      </c>
      <c r="AS23" s="168" t="n">
        <v>0.0214636443909494</v>
      </c>
      <c r="AT23" s="168" t="n">
        <v>1.91059193912299E-007</v>
      </c>
      <c r="AU23" s="168" t="n">
        <v>4.19232481877562E-005</v>
      </c>
      <c r="AV23" s="168" t="n">
        <v>7.11869060145421E-008</v>
      </c>
      <c r="AW23" s="168" t="n">
        <v>7.43019663784876E-005</v>
      </c>
      <c r="AX23" s="168" t="n">
        <v>2.2467522277534E-006</v>
      </c>
      <c r="AY23" s="168" t="n">
        <v>1.41534797860122E-005</v>
      </c>
      <c r="AZ23" s="168" t="n">
        <v>1.057923032025E-005</v>
      </c>
      <c r="BA23" s="168" t="n">
        <v>6.06445286070563E-006</v>
      </c>
      <c r="BB23" s="168" t="n">
        <v>1.77208479409526E-006</v>
      </c>
      <c r="BC23" s="3" t="n">
        <v>2.841967445654E-006</v>
      </c>
      <c r="BD23" s="168" t="n">
        <v>9.4705383321146E-005</v>
      </c>
      <c r="BE23" s="3" t="n">
        <v>0.000146518542241915</v>
      </c>
      <c r="BF23" s="3" t="n">
        <v>0.00595619128818126</v>
      </c>
      <c r="BG23" s="3" t="n">
        <v>0.00500438049028788</v>
      </c>
      <c r="BH23" s="3" t="n">
        <v>0.00107472410529156</v>
      </c>
      <c r="BI23" s="168" t="n">
        <v>0.00390667402310418</v>
      </c>
      <c r="BJ23" s="168" t="n">
        <v>0.0531816924083884</v>
      </c>
      <c r="BK23" s="168" t="n">
        <v>0.0493601574468672</v>
      </c>
      <c r="BL23" s="168" t="n">
        <v>2.74343103883867E-006</v>
      </c>
      <c r="BM23" s="168" t="n">
        <v>4.19130242750862E-008</v>
      </c>
      <c r="BN23" s="168" t="n">
        <v>6.63285771009312E-008</v>
      </c>
      <c r="BO23" s="168" t="n">
        <v>6.99612747099908E-008</v>
      </c>
      <c r="BP23" s="168" t="n">
        <v>5.06359485144671E-007</v>
      </c>
      <c r="BQ23" s="168" t="n">
        <v>4.69922372101795E-007</v>
      </c>
      <c r="BR23" s="168" t="n">
        <v>4.19618417318473E-007</v>
      </c>
      <c r="BS23" s="168" t="n">
        <v>0.000134133709323697</v>
      </c>
      <c r="BT23" s="168" t="n">
        <v>2.04014106681625E-006</v>
      </c>
      <c r="BU23" s="168" t="n">
        <v>3.28077186148982E-006</v>
      </c>
      <c r="BV23" s="168" t="n">
        <v>3.15864991694934E-006</v>
      </c>
      <c r="BW23" s="3" t="n">
        <v>2.38851223230998E-005</v>
      </c>
      <c r="BX23" s="3" t="n">
        <v>2.00231920734392E-005</v>
      </c>
      <c r="BY23" s="3" t="n">
        <v>1.88362340896127E-005</v>
      </c>
      <c r="BZ23" s="169"/>
      <c r="CA23" s="169"/>
      <c r="CB23" s="169"/>
      <c r="CC23" s="169"/>
      <c r="CD23" s="169"/>
      <c r="CE23" s="169"/>
      <c r="CF23" s="169"/>
    </row>
    <row r="24" customFormat="false" ht="12.75" hidden="true" customHeight="false" outlineLevel="0" collapsed="false">
      <c r="A24" s="3" t="n">
        <v>6</v>
      </c>
      <c r="B24" s="3" t="n">
        <v>6.4</v>
      </c>
      <c r="C24" s="3" t="s">
        <v>332</v>
      </c>
      <c r="D24" s="3" t="s">
        <v>220</v>
      </c>
      <c r="E24" s="3" t="n">
        <v>0.227688549042874</v>
      </c>
      <c r="F24" s="3" t="n">
        <v>0.186956811929693</v>
      </c>
      <c r="G24" s="3" t="n">
        <v>0.0439878606976136</v>
      </c>
      <c r="H24" s="3" t="n">
        <v>0.00797770343953608</v>
      </c>
      <c r="I24" s="3" t="n">
        <v>0.207878420123342</v>
      </c>
      <c r="J24" s="3" t="n">
        <v>0.234965805682556</v>
      </c>
      <c r="K24" s="3" t="n">
        <v>0.011466314103621</v>
      </c>
      <c r="L24" s="3" t="n">
        <v>1.75607297162242E-029</v>
      </c>
      <c r="M24" s="3" t="n">
        <v>0.0291868496862351</v>
      </c>
      <c r="N24" s="3" t="n">
        <v>0</v>
      </c>
      <c r="O24" s="168" t="n">
        <v>0.00772137695000003</v>
      </c>
      <c r="P24" s="3" t="n">
        <v>0</v>
      </c>
      <c r="Q24" s="3" t="n">
        <v>0.0225423644492785</v>
      </c>
      <c r="R24" s="3" t="n">
        <v>1.05364378297345E-028</v>
      </c>
      <c r="S24" s="168" t="n">
        <v>0.00886448031014607</v>
      </c>
      <c r="T24" s="168" t="n">
        <v>0</v>
      </c>
      <c r="U24" s="168" t="n">
        <v>0.0324399959644904</v>
      </c>
      <c r="V24" s="168" t="n">
        <v>0</v>
      </c>
      <c r="W24" s="168" t="n">
        <v>4.50301413840517E-007</v>
      </c>
      <c r="X24" s="168" t="n">
        <v>0.000104618230890481</v>
      </c>
      <c r="Y24" s="168" t="n">
        <v>1.00641028044055E-006</v>
      </c>
      <c r="Z24" s="3" t="n">
        <v>0.000154979593397393</v>
      </c>
      <c r="AA24" s="3" t="n">
        <v>2.55876176340589E-006</v>
      </c>
      <c r="AB24" s="3" t="n">
        <v>5.19535733692339E-005</v>
      </c>
      <c r="AC24" s="3" t="n">
        <v>0.0217604233043477</v>
      </c>
      <c r="AD24" s="168" t="n">
        <v>0.0127665558893911</v>
      </c>
      <c r="AE24" s="168" t="n">
        <v>0.105556786723922</v>
      </c>
      <c r="AF24" s="3" t="n">
        <v>0.00636737541739072</v>
      </c>
      <c r="AG24" s="3" t="n">
        <v>0</v>
      </c>
      <c r="AH24" s="168" t="n">
        <v>8.95853845847735E-006</v>
      </c>
      <c r="AI24" s="168" t="n">
        <v>0.000129226877815271</v>
      </c>
      <c r="AJ24" s="168" t="n">
        <v>0.186956811929693</v>
      </c>
      <c r="AK24" s="168" t="n">
        <v>4.91439069564973E-006</v>
      </c>
      <c r="AL24" s="168" t="n">
        <v>1.38272456521893E-007</v>
      </c>
      <c r="AM24" s="168" t="n">
        <v>2.00546753623238E-007</v>
      </c>
      <c r="AN24" s="3" t="n">
        <v>1.05417015084057E-005</v>
      </c>
      <c r="AO24" s="3" t="n">
        <v>8.25081304318863E-006</v>
      </c>
      <c r="AP24" s="3" t="n">
        <v>9.18495138318822E-006</v>
      </c>
      <c r="AQ24" s="168" t="n">
        <v>0.00574562516538409</v>
      </c>
      <c r="AR24" s="168" t="n">
        <v>0.00478102028515215</v>
      </c>
      <c r="AS24" s="168" t="n">
        <v>0.0053130170168623</v>
      </c>
      <c r="AT24" s="168" t="n">
        <v>1.21411230145211E-007</v>
      </c>
      <c r="AU24" s="168" t="n">
        <v>2.92644928318675E-006</v>
      </c>
      <c r="AV24" s="168" t="n">
        <v>1.09155103695923E-007</v>
      </c>
      <c r="AW24" s="168" t="n">
        <v>4.57826420796787E-007</v>
      </c>
      <c r="AX24" s="168" t="n">
        <v>1.23038915652053E-007</v>
      </c>
      <c r="AY24" s="168" t="n">
        <v>3.07221931710187E-006</v>
      </c>
      <c r="AZ24" s="168" t="n">
        <v>1.30144348701784E-006</v>
      </c>
      <c r="BA24" s="168" t="n">
        <v>4.82315216359836E-007</v>
      </c>
      <c r="BB24" s="168" t="n">
        <v>2.50121157007773E-007</v>
      </c>
      <c r="BC24" s="3" t="n">
        <v>2.51219711605188E-007</v>
      </c>
      <c r="BD24" s="3" t="n">
        <v>9.19786707239248E-006</v>
      </c>
      <c r="BE24" s="3" t="n">
        <v>1.50068024557584E-005</v>
      </c>
      <c r="BF24" s="3" t="n">
        <v>0.00071277545279024</v>
      </c>
      <c r="BG24" s="3" t="n">
        <v>0.000330860344992944</v>
      </c>
      <c r="BH24" s="3" t="n">
        <v>0.000163245949085636</v>
      </c>
      <c r="BI24" s="168" t="n">
        <v>0.000121813391618546</v>
      </c>
      <c r="BJ24" s="168" t="n">
        <v>0.00526160128420496</v>
      </c>
      <c r="BK24" s="168" t="n">
        <v>0.00465337242695525</v>
      </c>
      <c r="BL24" s="168" t="n">
        <v>2.78672885145087E-007</v>
      </c>
      <c r="BM24" s="168" t="n">
        <v>3.59445713039097E-008</v>
      </c>
      <c r="BN24" s="168" t="n">
        <v>7.39660840577225E-009</v>
      </c>
      <c r="BO24" s="168" t="n">
        <v>3.5124933260752E-008</v>
      </c>
      <c r="BP24" s="168" t="n">
        <v>5.47746903621234E-008</v>
      </c>
      <c r="BQ24" s="168" t="n">
        <v>1.36024925036177E-006</v>
      </c>
      <c r="BR24" s="168" t="n">
        <v>6.66863199270999E-008</v>
      </c>
      <c r="BS24" s="168" t="n">
        <v>1.3626035602334E-005</v>
      </c>
      <c r="BT24" s="168" t="n">
        <v>1.74959681356955E-006</v>
      </c>
      <c r="BU24" s="168" t="n">
        <v>3.65865243796669E-007</v>
      </c>
      <c r="BV24" s="168" t="n">
        <v>1.58583974466343E-006</v>
      </c>
      <c r="BW24" s="3" t="n">
        <v>2.58393602970412E-006</v>
      </c>
      <c r="BX24" s="3" t="n">
        <v>5.79562361979043E-005</v>
      </c>
      <c r="BY24" s="3" t="n">
        <v>2.9929581386108E-006</v>
      </c>
      <c r="BZ24" s="169"/>
      <c r="CA24" s="169"/>
      <c r="CB24" s="169"/>
      <c r="CC24" s="169"/>
      <c r="CD24" s="169"/>
      <c r="CE24" s="169"/>
      <c r="CF24" s="169"/>
    </row>
    <row r="25" customFormat="false" ht="12.75" hidden="true" customHeight="false" outlineLevel="0" collapsed="false">
      <c r="A25" s="3" t="n">
        <v>6</v>
      </c>
      <c r="B25" s="3" t="n">
        <v>6.4</v>
      </c>
      <c r="C25" s="3" t="s">
        <v>333</v>
      </c>
      <c r="D25" s="3" t="s">
        <v>220</v>
      </c>
      <c r="E25" s="3" t="n">
        <v>0.031440894687247</v>
      </c>
      <c r="F25" s="3" t="n">
        <v>0.0161129968579731</v>
      </c>
      <c r="G25" s="3" t="n">
        <v>0.0174283937743849</v>
      </c>
      <c r="H25" s="3" t="n">
        <v>0.00581654988608698</v>
      </c>
      <c r="I25" s="3" t="n">
        <v>0.0169588318184083</v>
      </c>
      <c r="J25" s="3" t="n">
        <v>0.0240107481654162</v>
      </c>
      <c r="K25" s="3" t="n">
        <v>0.0103423618782608</v>
      </c>
      <c r="L25" s="3" t="n">
        <v>1.92070481271202E-029</v>
      </c>
      <c r="M25" s="3" t="n">
        <v>0.0311394432688394</v>
      </c>
      <c r="N25" s="3" t="n">
        <v>0</v>
      </c>
      <c r="O25" s="3" t="n">
        <v>0.0105162725188418</v>
      </c>
      <c r="P25" s="3" t="n">
        <v>0</v>
      </c>
      <c r="Q25" s="3" t="n">
        <v>0.0272809839644921</v>
      </c>
      <c r="R25" s="3" t="n">
        <v>3.51214594324485E-029</v>
      </c>
      <c r="S25" s="3" t="n">
        <v>0.00737829936739291</v>
      </c>
      <c r="T25" s="168" t="n">
        <v>0</v>
      </c>
      <c r="U25" s="3" t="n">
        <v>0.0263043823536247</v>
      </c>
      <c r="V25" s="168" t="n">
        <v>0</v>
      </c>
      <c r="W25" s="3" t="n">
        <v>8.05853017391315E-008</v>
      </c>
      <c r="X25" s="3" t="n">
        <v>0.000191407938946223</v>
      </c>
      <c r="Y25" s="3" t="n">
        <v>5.81011249379681E-007</v>
      </c>
      <c r="Z25" s="3" t="n">
        <v>0.00032391629387067</v>
      </c>
      <c r="AA25" s="3" t="n">
        <v>9.93169690362284E-007</v>
      </c>
      <c r="AB25" s="3" t="n">
        <v>6.25887242802258E-005</v>
      </c>
      <c r="AC25" s="3" t="n">
        <v>0.00982766114782796</v>
      </c>
      <c r="AD25" s="3" t="n">
        <v>0.0156181600504276</v>
      </c>
      <c r="AE25" s="3" t="n">
        <v>0.0150503585384031</v>
      </c>
      <c r="AF25" s="3" t="n">
        <v>0.00467331846666615</v>
      </c>
      <c r="AG25" s="3" t="n">
        <v>0</v>
      </c>
      <c r="AH25" s="3" t="n">
        <v>3.15218037847815E-006</v>
      </c>
      <c r="AI25" s="168" t="n">
        <v>0.000102972995322044</v>
      </c>
      <c r="AJ25" s="3" t="n">
        <v>0.0161129968579731</v>
      </c>
      <c r="AK25" s="3" t="n">
        <v>7.73288356521719E-006</v>
      </c>
      <c r="AL25" s="3" t="n">
        <v>5.96361449272721E-008</v>
      </c>
      <c r="AM25" s="3" t="n">
        <v>5.41692101450393E-008</v>
      </c>
      <c r="AN25" s="3" t="n">
        <v>2.02932890601451E-006</v>
      </c>
      <c r="AO25" s="3" t="n">
        <v>7.45289365536223E-006</v>
      </c>
      <c r="AP25" s="3" t="n">
        <v>3.84107546717387E-006</v>
      </c>
      <c r="AQ25" s="168" t="n">
        <v>0.000970384065673939</v>
      </c>
      <c r="AR25" s="3" t="n">
        <v>0.00433275414990585</v>
      </c>
      <c r="AS25" s="168" t="n">
        <v>0.00222673230155791</v>
      </c>
      <c r="AT25" s="3" t="n">
        <v>2.92565060145341E-008</v>
      </c>
      <c r="AU25" s="168" t="n">
        <v>1.3880758388388E-006</v>
      </c>
      <c r="AV25" s="3" t="n">
        <v>2.07602675364393E-008</v>
      </c>
      <c r="AW25" s="3" t="n">
        <v>3.47217125146337E-007</v>
      </c>
      <c r="AX25" s="168" t="n">
        <v>1.40495283406055E-007</v>
      </c>
      <c r="AY25" s="168" t="n">
        <v>1.21112422608831E-006</v>
      </c>
      <c r="AZ25" s="168" t="n">
        <v>2.6516276856919E-007</v>
      </c>
      <c r="BA25" s="3" t="n">
        <v>1.97974724647441E-007</v>
      </c>
      <c r="BB25" s="3" t="n">
        <v>2.37735932920491E-007</v>
      </c>
      <c r="BC25" s="3" t="n">
        <v>9.471699500054E-008</v>
      </c>
      <c r="BD25" s="3" t="n">
        <v>1.84417952596672E-005</v>
      </c>
      <c r="BE25" s="3" t="n">
        <v>2.44277677216757E-005</v>
      </c>
      <c r="BF25" s="3" t="n">
        <v>0.000146120754188854</v>
      </c>
      <c r="BG25" s="3" t="n">
        <v>6.36885464792295E-005</v>
      </c>
      <c r="BH25" s="3" t="n">
        <v>0.000145630411801046</v>
      </c>
      <c r="BI25" s="168" t="n">
        <v>4.02488275872803E-005</v>
      </c>
      <c r="BJ25" s="168" t="n">
        <v>0.0105045729125701</v>
      </c>
      <c r="BK25" s="168" t="n">
        <v>0.00784632207797911</v>
      </c>
      <c r="BL25" s="168" t="n">
        <v>5.83798223191314E-008</v>
      </c>
      <c r="BM25" s="168" t="n">
        <v>8.04625275368351E-009</v>
      </c>
      <c r="BN25" s="168" t="n">
        <v>3.14403413045236E-009</v>
      </c>
      <c r="BO25" s="168" t="n">
        <v>5.85840630447012E-009</v>
      </c>
      <c r="BP25" s="3" t="n">
        <v>1.80977856232227E-007</v>
      </c>
      <c r="BQ25" s="3" t="n">
        <v>8.33055436955443E-008</v>
      </c>
      <c r="BR25" s="168" t="n">
        <v>7.8998381883975E-009</v>
      </c>
      <c r="BS25" s="3" t="n">
        <v>2.85406670709198E-006</v>
      </c>
      <c r="BT25" s="168" t="n">
        <v>3.91630160379637E-007</v>
      </c>
      <c r="BU25" s="168" t="n">
        <v>1.5551662985461E-007</v>
      </c>
      <c r="BV25" s="168" t="n">
        <v>2.64486853221146E-007</v>
      </c>
      <c r="BW25" s="3" t="n">
        <v>8.53718419333502E-006</v>
      </c>
      <c r="BX25" s="3" t="n">
        <v>3.54875156072636E-006</v>
      </c>
      <c r="BY25" s="3" t="n">
        <v>3.54532548231319E-007</v>
      </c>
      <c r="BZ25" s="169"/>
      <c r="CA25" s="169"/>
      <c r="CB25" s="169"/>
      <c r="CC25" s="169"/>
      <c r="CD25" s="169"/>
      <c r="CE25" s="169"/>
      <c r="CF25" s="169"/>
    </row>
    <row r="26" customFormat="false" ht="12.75" hidden="false" customHeight="false" outlineLevel="0" collapsed="false">
      <c r="A26" s="3" t="n">
        <v>5</v>
      </c>
      <c r="B26" s="3" t="n">
        <v>5.1</v>
      </c>
      <c r="C26" s="3" t="s">
        <v>244</v>
      </c>
      <c r="D26" s="3" t="s">
        <v>220</v>
      </c>
      <c r="E26" s="3" t="n">
        <v>0.00242784068077076</v>
      </c>
      <c r="F26" s="3" t="n">
        <v>0.000588692652787026</v>
      </c>
      <c r="G26" s="3" t="n">
        <v>3.06775337331484E-005</v>
      </c>
      <c r="H26" s="3" t="n">
        <v>0.000740191983571766</v>
      </c>
      <c r="I26" s="3" t="n">
        <v>0.000384844446351873</v>
      </c>
      <c r="J26" s="3" t="n">
        <v>0.00192350761411174</v>
      </c>
      <c r="K26" s="3" t="n">
        <v>0.00823445536319542</v>
      </c>
      <c r="L26" s="3" t="n">
        <v>0</v>
      </c>
      <c r="M26" s="3" t="n">
        <v>0.0341806509481468</v>
      </c>
      <c r="N26" s="3" t="n">
        <v>0</v>
      </c>
      <c r="O26" s="3" t="n">
        <v>0.0135574071905129</v>
      </c>
      <c r="P26" s="3" t="n">
        <v>0</v>
      </c>
      <c r="Q26" s="3" t="n">
        <v>0.0354650784544032</v>
      </c>
      <c r="R26" s="3" t="n">
        <v>1.56121561683346E-005</v>
      </c>
      <c r="S26" s="3" t="n">
        <v>0.00967382836875079</v>
      </c>
      <c r="T26" s="3" t="n">
        <v>0</v>
      </c>
      <c r="U26" s="3" t="n">
        <v>0.0252607043895815</v>
      </c>
      <c r="V26" s="3" t="n">
        <v>0.000270859654228179</v>
      </c>
      <c r="W26" s="3" t="n">
        <v>1.04385089517586E-007</v>
      </c>
      <c r="X26" s="3" t="n">
        <v>0.000387551325227064</v>
      </c>
      <c r="Y26" s="3" t="n">
        <v>1.09174392864584E-007</v>
      </c>
      <c r="Z26" s="3" t="n">
        <v>0.00216970600353021</v>
      </c>
      <c r="AA26" s="3" t="n">
        <v>5.61294906381979E-008</v>
      </c>
      <c r="AB26" s="3" t="n">
        <v>0.00169175513988734</v>
      </c>
      <c r="AC26" s="3" t="n">
        <v>0.00011253071917359</v>
      </c>
      <c r="AD26" s="3" t="n">
        <v>0.000423776728861209</v>
      </c>
      <c r="AE26" s="3" t="n">
        <v>0.0011358640607708</v>
      </c>
      <c r="AF26" s="3" t="n">
        <v>0.00219265853958264</v>
      </c>
      <c r="AG26" s="3" t="n">
        <v>1.28205747636913E-007</v>
      </c>
      <c r="AH26" s="3" t="n">
        <v>6.91219631250697E-010</v>
      </c>
      <c r="AI26" s="3" t="n">
        <v>0.00103824506516309</v>
      </c>
      <c r="AJ26" s="3" t="n">
        <v>0.000588692652787026</v>
      </c>
      <c r="AK26" s="3" t="n">
        <v>8.66237778062467E-008</v>
      </c>
      <c r="AL26" s="3" t="n">
        <v>6.40912165486003E-009</v>
      </c>
      <c r="AM26" s="3" t="n">
        <v>6.80024391048604E-008</v>
      </c>
      <c r="AN26" s="3" t="n">
        <v>0</v>
      </c>
      <c r="AO26" s="3" t="n">
        <v>0</v>
      </c>
      <c r="AP26" s="3" t="n">
        <v>0</v>
      </c>
      <c r="AQ26" s="3" t="n">
        <v>7.62898926218792E-014</v>
      </c>
      <c r="AR26" s="3" t="n">
        <v>2.50209303406452E-014</v>
      </c>
      <c r="AS26" s="3" t="n">
        <v>7.37145366928825E-013</v>
      </c>
      <c r="AT26" s="3" t="n">
        <v>1.60284917036232E-007</v>
      </c>
      <c r="AU26" s="3" t="n">
        <v>2.98135892336346E-005</v>
      </c>
      <c r="AV26" s="3" t="n">
        <v>1.63567031412368E-007</v>
      </c>
      <c r="AW26" s="3" t="n">
        <v>4.17019438385195E-005</v>
      </c>
      <c r="AX26" s="3" t="n">
        <v>1.61661747776203E-007</v>
      </c>
      <c r="AY26" s="3" t="n">
        <v>3.6253664822877E-005</v>
      </c>
      <c r="AZ26" s="3" t="n">
        <v>7.49900781620937E-007</v>
      </c>
      <c r="BA26" s="3" t="n">
        <v>5.03729302267885E-008</v>
      </c>
      <c r="BB26" s="3" t="n">
        <v>1.53817267408412E-008</v>
      </c>
      <c r="BC26" s="3" t="n">
        <v>7.63380512974318E-009</v>
      </c>
      <c r="BD26" s="3" t="n">
        <v>6.5432414640239E-007</v>
      </c>
      <c r="BE26" s="3" t="n">
        <v>7.32705463612344E-009</v>
      </c>
      <c r="BF26" s="3" t="n">
        <v>0.000453016415742921</v>
      </c>
      <c r="BG26" s="3" t="n">
        <v>1.82304067757202E-005</v>
      </c>
      <c r="BH26" s="3" t="n">
        <v>9.32797534606082E-006</v>
      </c>
      <c r="BI26" s="3" t="n">
        <v>2.81756518212112E-006</v>
      </c>
      <c r="BJ26" s="3" t="n">
        <v>0.000395350237132664</v>
      </c>
      <c r="BK26" s="3" t="n">
        <v>2.51636997483498E-006</v>
      </c>
      <c r="BL26" s="3" t="n">
        <v>1.06349218287036E-014</v>
      </c>
      <c r="BM26" s="3" t="n">
        <v>1.49081692361111E-014</v>
      </c>
      <c r="BN26" s="3" t="n">
        <v>2.2417116412037E-014</v>
      </c>
      <c r="BO26" s="3" t="n">
        <v>4.75749280092592E-015</v>
      </c>
      <c r="BP26" s="3" t="n">
        <v>2.47643762037036E-014</v>
      </c>
      <c r="BQ26" s="3" t="n">
        <v>3.09433309953703E-014</v>
      </c>
      <c r="BR26" s="3" t="n">
        <v>7.63286759027777E-014</v>
      </c>
      <c r="BS26" s="3" t="n">
        <v>1.82231219038487E-063</v>
      </c>
      <c r="BT26" s="3" t="n">
        <v>1.67778889503891E-063</v>
      </c>
      <c r="BU26" s="3" t="n">
        <v>6.20137740525234E-064</v>
      </c>
      <c r="BV26" s="3" t="n">
        <v>5.71312467058095E-065</v>
      </c>
      <c r="BW26" s="3" t="n">
        <v>5.6898947938668E-063</v>
      </c>
      <c r="BX26" s="3" t="n">
        <v>3.50441123237845E-064</v>
      </c>
      <c r="BY26" s="3" t="n">
        <v>5.31460121317395E-064</v>
      </c>
      <c r="BZ26" s="169"/>
      <c r="CA26" s="169"/>
      <c r="CB26" s="169"/>
      <c r="CC26" s="169"/>
      <c r="CD26" s="169"/>
      <c r="CE26" s="169"/>
      <c r="CF26" s="169"/>
    </row>
    <row r="27" customFormat="false" ht="12.75" hidden="false" customHeight="false" outlineLevel="0" collapsed="false">
      <c r="A27" s="3" t="n">
        <v>5</v>
      </c>
      <c r="B27" s="3" t="n">
        <v>5.2</v>
      </c>
      <c r="C27" s="3" t="s">
        <v>244</v>
      </c>
      <c r="D27" s="3" t="s">
        <v>220</v>
      </c>
      <c r="E27" s="3" t="n">
        <v>0.815883356507392</v>
      </c>
      <c r="F27" s="3" t="n">
        <v>0.918578551262024</v>
      </c>
      <c r="G27" s="3" t="n">
        <v>0.845737677646195</v>
      </c>
      <c r="H27" s="3" t="n">
        <v>0.00304290203789055</v>
      </c>
      <c r="I27" s="168" t="n">
        <v>0.00697991329511028</v>
      </c>
      <c r="J27" s="3" t="n">
        <v>0.00541496496614361</v>
      </c>
      <c r="K27" s="3" t="n">
        <v>0.000464719886342721</v>
      </c>
      <c r="L27" s="3" t="n">
        <v>0</v>
      </c>
      <c r="M27" s="3" t="n">
        <v>0.00252608951134366</v>
      </c>
      <c r="N27" s="3" t="n">
        <v>0</v>
      </c>
      <c r="O27" s="168" t="n">
        <v>0.0124632679194443</v>
      </c>
      <c r="P27" s="3" t="n">
        <v>0</v>
      </c>
      <c r="Q27" s="3" t="n">
        <v>0.084672077603705</v>
      </c>
      <c r="R27" s="3" t="n">
        <v>0.00141635264923147</v>
      </c>
      <c r="S27" s="3" t="n">
        <v>0.0191968024613471</v>
      </c>
      <c r="T27" s="3" t="n">
        <v>0</v>
      </c>
      <c r="U27" s="3" t="n">
        <v>0.00669549405485914</v>
      </c>
      <c r="V27" s="3" t="n">
        <v>0.000101428194839425</v>
      </c>
      <c r="W27" s="3" t="n">
        <v>3.47410087033496E-006</v>
      </c>
      <c r="X27" s="168" t="n">
        <v>0.0134319953855413</v>
      </c>
      <c r="Y27" s="3" t="n">
        <v>3.19744722045208E-006</v>
      </c>
      <c r="Z27" s="3" t="n">
        <v>0.00638557983549274</v>
      </c>
      <c r="AA27" s="3" t="n">
        <v>7.93781276882066E-008</v>
      </c>
      <c r="AB27" s="3" t="n">
        <v>7.66179005795778E-006</v>
      </c>
      <c r="AC27" s="3" t="n">
        <v>0.194660157490507</v>
      </c>
      <c r="AD27" s="168" t="n">
        <v>0.231176532673147</v>
      </c>
      <c r="AE27" s="3" t="n">
        <v>0.000368842398006949</v>
      </c>
      <c r="AF27" s="3" t="n">
        <v>0.00030648209537034</v>
      </c>
      <c r="AG27" s="3" t="n">
        <v>1.15129475569415E-006</v>
      </c>
      <c r="AH27" s="3" t="n">
        <v>8.51953372471084E-005</v>
      </c>
      <c r="AI27" s="168" t="n">
        <v>0.00242494114299244</v>
      </c>
      <c r="AJ27" s="168" t="n">
        <v>0.918578551262024</v>
      </c>
      <c r="AK27" s="3" t="n">
        <v>6.85590905090959E-007</v>
      </c>
      <c r="AL27" s="3" t="n">
        <v>6.44832637036771E-006</v>
      </c>
      <c r="AM27" s="3" t="n">
        <v>1.41361211110965E-006</v>
      </c>
      <c r="AN27" s="3" t="n">
        <v>0.000195661038224814</v>
      </c>
      <c r="AO27" s="3" t="n">
        <v>0.000144224231650716</v>
      </c>
      <c r="AP27" s="3" t="n">
        <v>0.000180411613996134</v>
      </c>
      <c r="AQ27" s="168" t="n">
        <v>0.115769548253335</v>
      </c>
      <c r="AR27" s="3" t="n">
        <v>0.0831520010648077</v>
      </c>
      <c r="AS27" s="168" t="n">
        <v>0.105731869702964</v>
      </c>
      <c r="AT27" s="168" t="n">
        <v>3.54625363420878E-009</v>
      </c>
      <c r="AU27" s="3" t="n">
        <v>4.94117605250182E-005</v>
      </c>
      <c r="AV27" s="3" t="n">
        <v>5.86381298587621E-009</v>
      </c>
      <c r="AW27" s="168" t="n">
        <v>3.22448844940498E-005</v>
      </c>
      <c r="AX27" s="168" t="n">
        <v>7.48783766195931E-009</v>
      </c>
      <c r="AY27" s="168" t="n">
        <v>2.63571843918346E-005</v>
      </c>
      <c r="AZ27" s="168" t="n">
        <v>1.99350515285414E-007</v>
      </c>
      <c r="BA27" s="3" t="n">
        <v>2.10915954714152E-009</v>
      </c>
      <c r="BB27" s="3" t="n">
        <v>2.07029772430349E-007</v>
      </c>
      <c r="BC27" s="3" t="n">
        <v>3.34017911432459E-007</v>
      </c>
      <c r="BD27" s="3" t="n">
        <v>4.28622953864988E-006</v>
      </c>
      <c r="BE27" s="3" t="n">
        <v>5.49409790521701E-006</v>
      </c>
      <c r="BF27" s="3" t="n">
        <v>0.000119031689977256</v>
      </c>
      <c r="BG27" s="3" t="n">
        <v>8.97543773571357E-006</v>
      </c>
      <c r="BH27" s="3" t="n">
        <v>0.000124459989607244</v>
      </c>
      <c r="BI27" s="168" t="n">
        <v>0.000146936106894823</v>
      </c>
      <c r="BJ27" s="168" t="n">
        <v>0.00256300109525272</v>
      </c>
      <c r="BK27" s="168" t="n">
        <v>0.0019899965258321</v>
      </c>
      <c r="BL27" s="168" t="n">
        <v>1.15625673079466E-007</v>
      </c>
      <c r="BM27" s="168" t="n">
        <v>9.91673130214119E-011</v>
      </c>
      <c r="BN27" s="168" t="n">
        <v>5.65435297403009E-011</v>
      </c>
      <c r="BO27" s="168" t="n">
        <v>2.57716371169444E-011</v>
      </c>
      <c r="BP27" s="3" t="n">
        <v>0.00110248986022179</v>
      </c>
      <c r="BQ27" s="168" t="n">
        <v>8.54743920724536E-012</v>
      </c>
      <c r="BR27" s="168" t="n">
        <v>1.61398074083332E-012</v>
      </c>
      <c r="BS27" s="168" t="n">
        <v>5.73627353751959E-006</v>
      </c>
      <c r="BT27" s="168" t="n">
        <v>5.41796661229768E-056</v>
      </c>
      <c r="BU27" s="168" t="n">
        <v>2.44354702770987E-057</v>
      </c>
      <c r="BV27" s="3" t="n">
        <v>2.49532758371713E-058</v>
      </c>
      <c r="BW27" s="3" t="n">
        <v>1.22033437190409E-042</v>
      </c>
      <c r="BX27" s="3" t="n">
        <v>2.57256977044318E-058</v>
      </c>
      <c r="BY27" s="3" t="n">
        <v>9.85456283534908E-058</v>
      </c>
      <c r="BZ27" s="169"/>
      <c r="CA27" s="169"/>
      <c r="CB27" s="169"/>
      <c r="CC27" s="169"/>
      <c r="CD27" s="169"/>
      <c r="CE27" s="169"/>
      <c r="CF27" s="169"/>
    </row>
    <row r="28" customFormat="false" ht="12.75" hidden="false" customHeight="false" outlineLevel="0" collapsed="false">
      <c r="A28" s="3" t="n">
        <v>5</v>
      </c>
      <c r="B28" s="3" t="n">
        <v>5.3</v>
      </c>
      <c r="C28" s="3" t="s">
        <v>244</v>
      </c>
      <c r="D28" s="3" t="s">
        <v>220</v>
      </c>
      <c r="E28" s="3" t="n">
        <v>0.355542555396002</v>
      </c>
      <c r="F28" s="3" t="n">
        <v>0.363006988562099</v>
      </c>
      <c r="G28" s="3" t="n">
        <v>1.48893424254811</v>
      </c>
      <c r="H28" s="3" t="n">
        <v>0.00301515180437901</v>
      </c>
      <c r="I28" s="168" t="n">
        <v>3.08775784191059</v>
      </c>
      <c r="J28" s="3" t="n">
        <v>2.99076231094475</v>
      </c>
      <c r="K28" s="3" t="n">
        <v>0.0219296686335579</v>
      </c>
      <c r="L28" s="3" t="n">
        <v>0</v>
      </c>
      <c r="M28" s="3" t="n">
        <v>0.0690732801673622</v>
      </c>
      <c r="N28" s="3" t="n">
        <v>0</v>
      </c>
      <c r="O28" s="168" t="n">
        <v>0.0143097878583289</v>
      </c>
      <c r="P28" s="3" t="n">
        <v>0</v>
      </c>
      <c r="Q28" s="3" t="n">
        <v>0.0237161420175926</v>
      </c>
      <c r="R28" s="3" t="n">
        <v>0.000468941180272622</v>
      </c>
      <c r="S28" s="3" t="n">
        <v>0.00386134938148181</v>
      </c>
      <c r="T28" s="168" t="n">
        <v>0</v>
      </c>
      <c r="U28" s="168" t="n">
        <v>0.0274838891669018</v>
      </c>
      <c r="V28" s="168" t="n">
        <v>6.13583983768301E-005</v>
      </c>
      <c r="W28" s="168" t="n">
        <v>1.51262461057862E-006</v>
      </c>
      <c r="X28" s="168" t="n">
        <v>0.00153920792706553</v>
      </c>
      <c r="Y28" s="168" t="n">
        <v>9.683910609028E-007</v>
      </c>
      <c r="Z28" s="3" t="n">
        <v>0.0011219090437206</v>
      </c>
      <c r="AA28" s="3" t="n">
        <v>1.3415428689606E-007</v>
      </c>
      <c r="AB28" s="168" t="n">
        <v>0.00099980418532506</v>
      </c>
      <c r="AC28" s="3" t="n">
        <v>0.167833275180806</v>
      </c>
      <c r="AD28" s="168" t="n">
        <v>0.0296447673036984</v>
      </c>
      <c r="AE28" s="168" t="n">
        <v>0.000521576373293986</v>
      </c>
      <c r="AF28" s="168" t="n">
        <v>0.00394055740902745</v>
      </c>
      <c r="AG28" s="3" t="n">
        <v>2.56095650156983E-006</v>
      </c>
      <c r="AH28" s="168" t="n">
        <v>1.69388413405744E-005</v>
      </c>
      <c r="AI28" s="168" t="n">
        <v>0.00164306656184307</v>
      </c>
      <c r="AJ28" s="168" t="n">
        <v>0.363006988562099</v>
      </c>
      <c r="AK28" s="168" t="n">
        <v>0.000191237098673653</v>
      </c>
      <c r="AL28" s="168" t="n">
        <v>3.62364229860881E-006</v>
      </c>
      <c r="AM28" s="168" t="n">
        <v>2.25041295370567E-006</v>
      </c>
      <c r="AN28" s="3" t="n">
        <v>0.000358063649977706</v>
      </c>
      <c r="AO28" s="3" t="n">
        <v>0.000402562432191108</v>
      </c>
      <c r="AP28" s="3" t="n">
        <v>0.000379177780979188</v>
      </c>
      <c r="AQ28" s="168" t="n">
        <v>0.194791543840953</v>
      </c>
      <c r="AR28" s="168" t="n">
        <v>0.235747406770145</v>
      </c>
      <c r="AS28" s="168" t="n">
        <v>0.222341001578099</v>
      </c>
      <c r="AT28" s="168" t="n">
        <v>4.95698974556388E-009</v>
      </c>
      <c r="AU28" s="168" t="n">
        <v>4.69467579821604E-006</v>
      </c>
      <c r="AV28" s="168" t="n">
        <v>7.29347800905428E-010</v>
      </c>
      <c r="AW28" s="168" t="n">
        <v>5.49223684476656E-005</v>
      </c>
      <c r="AX28" s="168" t="n">
        <v>9.15132170718059E-007</v>
      </c>
      <c r="AY28" s="168" t="n">
        <v>2.25268887576644E-005</v>
      </c>
      <c r="AZ28" s="168" t="n">
        <v>1.31419743164663E-005</v>
      </c>
      <c r="BA28" s="168" t="n">
        <v>8.07561966984214E-008</v>
      </c>
      <c r="BB28" s="168" t="n">
        <v>2.03387160120714E-006</v>
      </c>
      <c r="BC28" s="168" t="n">
        <v>2.47157552508746E-006</v>
      </c>
      <c r="BD28" s="168" t="n">
        <v>3.21225439182565E-005</v>
      </c>
      <c r="BE28" s="168" t="n">
        <v>7.38016122948146E-005</v>
      </c>
      <c r="BF28" s="168" t="n">
        <v>0.00774020289735589</v>
      </c>
      <c r="BG28" s="3" t="n">
        <v>2.65166345990258E-005</v>
      </c>
      <c r="BH28" s="3" t="n">
        <v>0.00120608178182815</v>
      </c>
      <c r="BI28" s="168" t="n">
        <v>0.00197483005560113</v>
      </c>
      <c r="BJ28" s="168" t="n">
        <v>0.0189067401677781</v>
      </c>
      <c r="BK28" s="168" t="n">
        <v>0.0279915398518312</v>
      </c>
      <c r="BL28" s="168" t="n">
        <v>1.15002873168736E-006</v>
      </c>
      <c r="BM28" s="168" t="n">
        <v>8.54763571523966E-008</v>
      </c>
      <c r="BN28" s="168" t="n">
        <v>7.17329952075769E-008</v>
      </c>
      <c r="BO28" s="168" t="n">
        <v>2.75657884465236E-007</v>
      </c>
      <c r="BP28" s="168" t="n">
        <v>2.60169069141738E-009</v>
      </c>
      <c r="BQ28" s="168" t="n">
        <v>8.3478984410111E-010</v>
      </c>
      <c r="BR28" s="168" t="n">
        <v>9.57668796334261E-011</v>
      </c>
      <c r="BS28" s="168" t="n">
        <v>5.66231051605499E-005</v>
      </c>
      <c r="BT28" s="168" t="n">
        <v>4.18972648538504E-006</v>
      </c>
      <c r="BU28" s="168" t="n">
        <v>3.57296714435138E-006</v>
      </c>
      <c r="BV28" s="168" t="n">
        <v>1.25372035034459E-005</v>
      </c>
      <c r="BW28" s="3" t="n">
        <v>5.34415739742603E-054</v>
      </c>
      <c r="BX28" s="3" t="n">
        <v>2.06460644450479E-054</v>
      </c>
      <c r="BY28" s="3" t="n">
        <v>2.8307027401053E-055</v>
      </c>
      <c r="BZ28" s="169"/>
      <c r="CA28" s="169"/>
      <c r="CB28" s="169"/>
      <c r="CC28" s="169"/>
      <c r="CD28" s="169"/>
      <c r="CE28" s="169"/>
      <c r="CF28" s="169"/>
    </row>
    <row r="29" customFormat="false" ht="12.75" hidden="false" customHeight="false" outlineLevel="0" collapsed="false">
      <c r="A29" s="3" t="n">
        <v>5</v>
      </c>
      <c r="B29" s="3" t="n">
        <v>5.4</v>
      </c>
      <c r="C29" s="3" t="s">
        <v>244</v>
      </c>
      <c r="D29" s="3" t="s">
        <v>220</v>
      </c>
      <c r="E29" s="3" t="n">
        <v>6.25200737268628</v>
      </c>
      <c r="F29" s="3" t="n">
        <v>6.95452120873909</v>
      </c>
      <c r="G29" s="3" t="n">
        <v>1.02120830430658</v>
      </c>
      <c r="H29" s="3" t="n">
        <v>0.0500689286477219</v>
      </c>
      <c r="I29" s="3" t="n">
        <v>12.9825822789087</v>
      </c>
      <c r="J29" s="3" t="n">
        <v>11.8897208123426</v>
      </c>
      <c r="K29" s="3" t="n">
        <v>0.0245450923398212</v>
      </c>
      <c r="L29" s="3" t="n">
        <v>0</v>
      </c>
      <c r="M29" s="3" t="n">
        <v>0.0227707755863416</v>
      </c>
      <c r="N29" s="3" t="n">
        <v>0</v>
      </c>
      <c r="O29" s="3" t="n">
        <v>0.00325008900092676</v>
      </c>
      <c r="P29" s="3" t="n">
        <v>0</v>
      </c>
      <c r="Q29" s="3" t="n">
        <v>0.00942284620647658</v>
      </c>
      <c r="R29" s="3" t="n">
        <v>0.000671429994781712</v>
      </c>
      <c r="S29" s="3" t="n">
        <v>0.0165689658363417</v>
      </c>
      <c r="T29" s="3" t="n">
        <v>0</v>
      </c>
      <c r="U29" s="3" t="n">
        <v>0.101000751429872</v>
      </c>
      <c r="V29" s="3" t="n">
        <v>0.000237843612853827</v>
      </c>
      <c r="W29" s="3" t="n">
        <v>1.89549018406471E-005</v>
      </c>
      <c r="X29" s="3" t="n">
        <v>0.00316401190160318</v>
      </c>
      <c r="Y29" s="3" t="n">
        <v>1.85030014223843E-005</v>
      </c>
      <c r="Z29" s="3" t="n">
        <v>0.000499571368974398</v>
      </c>
      <c r="AA29" s="3" t="n">
        <v>1.52676059844698E-007</v>
      </c>
      <c r="AB29" s="3" t="n">
        <v>0.000699250921418156</v>
      </c>
      <c r="AC29" s="3" t="n">
        <v>2.20978471516755</v>
      </c>
      <c r="AD29" s="3" t="n">
        <v>1.05335598458768</v>
      </c>
      <c r="AE29" s="3" t="n">
        <v>0.000650840428187536</v>
      </c>
      <c r="AF29" s="3" t="n">
        <v>0.00456058963958406</v>
      </c>
      <c r="AG29" s="3" t="n">
        <v>3.88655920693499E-008</v>
      </c>
      <c r="AH29" s="3" t="n">
        <v>0.000254228420932811</v>
      </c>
      <c r="AI29" s="3" t="n">
        <v>0.00530887957449705</v>
      </c>
      <c r="AJ29" s="3" t="n">
        <v>6.95452120873909</v>
      </c>
      <c r="AK29" s="3" t="n">
        <v>0.000170708218187488</v>
      </c>
      <c r="AL29" s="3" t="n">
        <v>1.70429467361364E-006</v>
      </c>
      <c r="AM29" s="3" t="n">
        <v>2.00217043287049E-006</v>
      </c>
      <c r="AN29" s="3" t="n">
        <v>0.000145422844909746</v>
      </c>
      <c r="AO29" s="3" t="n">
        <v>0.000247500407331203</v>
      </c>
      <c r="AP29" s="3" t="n">
        <v>0.000228963862037871</v>
      </c>
      <c r="AQ29" s="3" t="n">
        <v>0.0748283963740369</v>
      </c>
      <c r="AR29" s="3" t="n">
        <v>0.14401554842973</v>
      </c>
      <c r="AS29" s="3" t="n">
        <v>0.133075151121835</v>
      </c>
      <c r="AT29" s="3" t="n">
        <v>1.11678817298374E-006</v>
      </c>
      <c r="AU29" s="3" t="n">
        <v>3.02209433177935E-005</v>
      </c>
      <c r="AV29" s="3" t="n">
        <v>7.7815245812648E-007</v>
      </c>
      <c r="AW29" s="3" t="n">
        <v>2.24371031360653E-006</v>
      </c>
      <c r="AX29" s="3" t="n">
        <v>1.23674048079491E-005</v>
      </c>
      <c r="AY29" s="3" t="n">
        <v>8.98205559595318E-005</v>
      </c>
      <c r="AZ29" s="3" t="n">
        <v>7.26124270654995E-006</v>
      </c>
      <c r="BA29" s="3" t="n">
        <v>2.05085067948695E-006</v>
      </c>
      <c r="BB29" s="3" t="n">
        <v>2.79260010195243E-006</v>
      </c>
      <c r="BC29" s="3" t="n">
        <v>3.85168776323091E-006</v>
      </c>
      <c r="BD29" s="3" t="n">
        <v>5.20884850365999E-006</v>
      </c>
      <c r="BE29" s="3" t="n">
        <v>2.05111457568567E-006</v>
      </c>
      <c r="BF29" s="3" t="n">
        <v>0.00377984888904222</v>
      </c>
      <c r="BG29" s="3" t="n">
        <v>0.00223270911190315</v>
      </c>
      <c r="BH29" s="3" t="n">
        <v>0.00183660332012727</v>
      </c>
      <c r="BI29" s="3" t="n">
        <v>0.00136593566715893</v>
      </c>
      <c r="BJ29" s="168" t="n">
        <v>0.00192585745904059</v>
      </c>
      <c r="BK29" s="168" t="n">
        <v>0.000128950199487869</v>
      </c>
      <c r="BL29" s="168" t="n">
        <v>1.12956259465102E-006</v>
      </c>
      <c r="BM29" s="3" t="n">
        <v>6.87397111340202E-008</v>
      </c>
      <c r="BN29" s="168" t="n">
        <v>9.82589643292442E-008</v>
      </c>
      <c r="BO29" s="168" t="n">
        <v>3.78557760023881E-007</v>
      </c>
      <c r="BP29" s="3" t="n">
        <v>3.23721607776362E-007</v>
      </c>
      <c r="BQ29" s="168" t="n">
        <v>9.0025951413097E-008</v>
      </c>
      <c r="BR29" s="168" t="n">
        <v>7.19688002802271E-007</v>
      </c>
      <c r="BS29" s="168" t="n">
        <v>5.52221348875186E-005</v>
      </c>
      <c r="BT29" s="168" t="n">
        <v>3.34582862561293E-006</v>
      </c>
      <c r="BU29" s="168" t="n">
        <v>4.86075581061672E-006</v>
      </c>
      <c r="BV29" s="168" t="n">
        <v>1.70928872066376E-005</v>
      </c>
      <c r="BW29" s="3" t="n">
        <v>1.52710676694871E-005</v>
      </c>
      <c r="BX29" s="3" t="n">
        <v>3.8351214443758E-006</v>
      </c>
      <c r="BY29" s="3" t="n">
        <v>3.23046163542041E-005</v>
      </c>
      <c r="BZ29" s="169"/>
      <c r="CA29" s="169"/>
      <c r="CB29" s="169"/>
      <c r="CC29" s="169"/>
      <c r="CD29" s="169"/>
      <c r="CE29" s="169"/>
      <c r="CF29" s="169"/>
    </row>
    <row r="30" customFormat="false" ht="12.75" hidden="false" customHeight="false" outlineLevel="0" collapsed="false">
      <c r="A30" s="3" t="n">
        <v>6</v>
      </c>
      <c r="B30" s="3" t="n">
        <v>6.1</v>
      </c>
      <c r="C30" s="3" t="s">
        <v>244</v>
      </c>
      <c r="D30" s="3" t="s">
        <v>220</v>
      </c>
      <c r="E30" s="3" t="n">
        <v>0.00483786233675731</v>
      </c>
      <c r="F30" s="3" t="n">
        <v>0.000603584245215238</v>
      </c>
      <c r="G30" s="3" t="n">
        <v>0.0195682845189956</v>
      </c>
      <c r="H30" s="3" t="n">
        <v>0.00211130304714619</v>
      </c>
      <c r="I30" s="3" t="n">
        <v>0.0132998406845717</v>
      </c>
      <c r="J30" s="3" t="n">
        <v>0.00535944125634556</v>
      </c>
      <c r="K30" s="3" t="n">
        <v>0.00205638857152901</v>
      </c>
      <c r="L30" s="3" t="n">
        <v>0</v>
      </c>
      <c r="M30" s="3" t="n">
        <v>0.000737142306481023</v>
      </c>
      <c r="N30" s="3" t="n">
        <v>0</v>
      </c>
      <c r="O30" s="3" t="n">
        <v>0.00102031636273276</v>
      </c>
      <c r="P30" s="3" t="n">
        <v>0</v>
      </c>
      <c r="Q30" s="3" t="n">
        <v>0.00407303460069649</v>
      </c>
      <c r="R30" s="3" t="n">
        <v>0.000130156556562924</v>
      </c>
      <c r="S30" s="3" t="n">
        <v>0.000467581869445245</v>
      </c>
      <c r="T30" s="3" t="n">
        <v>0</v>
      </c>
      <c r="U30" s="3" t="n">
        <v>0.00581567004652658</v>
      </c>
      <c r="V30" s="3" t="n">
        <v>2.51107074053199E-005</v>
      </c>
      <c r="W30" s="3" t="n">
        <v>6.86375364189927E-009</v>
      </c>
      <c r="X30" s="3" t="n">
        <v>0.000327478181366543</v>
      </c>
      <c r="Y30" s="3" t="n">
        <v>1.0393062762153E-007</v>
      </c>
      <c r="Z30" s="3" t="n">
        <v>0.000308049285310538</v>
      </c>
      <c r="AA30" s="3" t="n">
        <v>5.43837969877306E-008</v>
      </c>
      <c r="AB30" s="3" t="n">
        <v>0.00959198395518499</v>
      </c>
      <c r="AC30" s="3" t="n">
        <v>0.000214277056259393</v>
      </c>
      <c r="AD30" s="3" t="n">
        <v>0.000283013885675982</v>
      </c>
      <c r="AE30" s="3" t="n">
        <v>0.0027792321157985</v>
      </c>
      <c r="AF30" s="3" t="n">
        <v>0.00026655391111113</v>
      </c>
      <c r="AG30" s="3" t="n">
        <v>8.11932901358369E-005</v>
      </c>
      <c r="AH30" s="3" t="n">
        <v>2.21219932327071E-007</v>
      </c>
      <c r="AI30" s="3" t="n">
        <v>0.000196111255823355</v>
      </c>
      <c r="AJ30" s="3" t="n">
        <v>0.000603584245215238</v>
      </c>
      <c r="AK30" s="3" t="n">
        <v>1.64874335950927E-007</v>
      </c>
      <c r="AL30" s="3" t="n">
        <v>5.66825209905091E-008</v>
      </c>
      <c r="AM30" s="3" t="n">
        <v>4.26336315121533E-007</v>
      </c>
      <c r="AN30" s="3" t="n">
        <v>0</v>
      </c>
      <c r="AO30" s="3" t="n">
        <v>0</v>
      </c>
      <c r="AP30" s="3" t="n">
        <v>0</v>
      </c>
      <c r="AQ30" s="3" t="n">
        <v>7.46787328186559E-016</v>
      </c>
      <c r="AR30" s="3" t="n">
        <v>2.75304048290458E-015</v>
      </c>
      <c r="AS30" s="3" t="n">
        <v>2.09758781664113E-013</v>
      </c>
      <c r="AT30" s="3" t="n">
        <v>0.000775581121292364</v>
      </c>
      <c r="AU30" s="3" t="n">
        <v>0.000622159324536395</v>
      </c>
      <c r="AV30" s="3" t="n">
        <v>0.000767383144944814</v>
      </c>
      <c r="AW30" s="3" t="n">
        <v>0.000650787225676326</v>
      </c>
      <c r="AX30" s="3" t="n">
        <v>0.000778258188808402</v>
      </c>
      <c r="AY30" s="3" t="n">
        <v>0.000410660875103216</v>
      </c>
      <c r="AZ30" s="3" t="n">
        <v>4.07417674621968E-005</v>
      </c>
      <c r="BA30" s="3" t="n">
        <v>7.65083613809851E-007</v>
      </c>
      <c r="BB30" s="3" t="n">
        <v>1.76772218150688E-005</v>
      </c>
      <c r="BC30" s="3" t="n">
        <v>3.0373418434288E-006</v>
      </c>
      <c r="BD30" s="3" t="n">
        <v>3.35696165831921E-005</v>
      </c>
      <c r="BE30" s="3" t="n">
        <v>4.32002031305238E-005</v>
      </c>
      <c r="BF30" s="3" t="n">
        <v>0.0243427384787114</v>
      </c>
      <c r="BG30" s="3" t="n">
        <v>0.000268132054473744</v>
      </c>
      <c r="BH30" s="3" t="n">
        <v>0.0108583390786552</v>
      </c>
      <c r="BI30" s="3" t="n">
        <v>0.00108485483677113</v>
      </c>
      <c r="BJ30" s="3" t="n">
        <v>0.020647234131078</v>
      </c>
      <c r="BK30" s="3" t="n">
        <v>0.0152069834992315</v>
      </c>
      <c r="BL30" s="3" t="n">
        <v>3.46869183564814E-014</v>
      </c>
      <c r="BM30" s="3" t="n">
        <v>1.13387546064814E-014</v>
      </c>
      <c r="BN30" s="3" t="n">
        <v>2.71606462731481E-014</v>
      </c>
      <c r="BO30" s="3" t="n">
        <v>1.45539753425925E-013</v>
      </c>
      <c r="BP30" s="3" t="n">
        <v>2.86217692592592E-014</v>
      </c>
      <c r="BQ30" s="3" t="n">
        <v>2.99277955787037E-014</v>
      </c>
      <c r="BR30" s="3" t="n">
        <v>5.76787363425926E-015</v>
      </c>
      <c r="BS30" s="3" t="n">
        <v>4.23357103124485E-063</v>
      </c>
      <c r="BT30" s="3" t="n">
        <v>7.82781289548216E-064</v>
      </c>
      <c r="BU30" s="3" t="n">
        <v>6.84234750199203E-064</v>
      </c>
      <c r="BV30" s="3" t="n">
        <v>1.13780572753554E-063</v>
      </c>
      <c r="BW30" s="3" t="n">
        <v>7.90617041858521E-063</v>
      </c>
      <c r="BX30" s="3" t="n">
        <v>4.00767146489663E-064</v>
      </c>
      <c r="BY30" s="3" t="n">
        <v>4.64316477813566E-065</v>
      </c>
      <c r="BZ30" s="169"/>
      <c r="CA30" s="169"/>
      <c r="CB30" s="169"/>
      <c r="CC30" s="169"/>
      <c r="CD30" s="169"/>
      <c r="CE30" s="169"/>
      <c r="CF30" s="169"/>
    </row>
    <row r="31" customFormat="false" ht="12.75" hidden="false" customHeight="false" outlineLevel="0" collapsed="false">
      <c r="A31" s="3" t="n">
        <v>6</v>
      </c>
      <c r="B31" s="3" t="n">
        <v>6.2</v>
      </c>
      <c r="C31" s="3" t="s">
        <v>244</v>
      </c>
      <c r="D31" s="3" t="s">
        <v>220</v>
      </c>
      <c r="E31" s="3" t="n">
        <v>2.41218701315164</v>
      </c>
      <c r="F31" s="3" t="n">
        <v>2.20691870807245</v>
      </c>
      <c r="G31" s="3" t="n">
        <v>2.4582806645621</v>
      </c>
      <c r="H31" s="3" t="n">
        <v>0.00538403537507524</v>
      </c>
      <c r="I31" s="168" t="n">
        <v>0.00828173551478961</v>
      </c>
      <c r="J31" s="3" t="n">
        <v>0.00499248626394538</v>
      </c>
      <c r="K31" s="3" t="n">
        <v>0.0111795709099525</v>
      </c>
      <c r="L31" s="3" t="n">
        <v>0</v>
      </c>
      <c r="M31" s="3" t="n">
        <v>0.0413427338465218</v>
      </c>
      <c r="N31" s="3" t="n">
        <v>0</v>
      </c>
      <c r="O31" s="168" t="n">
        <v>0.0321046258631877</v>
      </c>
      <c r="P31" s="3" t="n">
        <v>0</v>
      </c>
      <c r="Q31" s="3" t="n">
        <v>0.157955852308325</v>
      </c>
      <c r="R31" s="3" t="n">
        <v>0.00024032519495322</v>
      </c>
      <c r="S31" s="3" t="n">
        <v>0.0475360653835659</v>
      </c>
      <c r="T31" s="168" t="n">
        <v>0</v>
      </c>
      <c r="U31" s="3" t="n">
        <v>0.0731400834395909</v>
      </c>
      <c r="V31" s="3" t="n">
        <v>0.000117454944111054</v>
      </c>
      <c r="W31" s="3" t="n">
        <v>4.00885590249601E-006</v>
      </c>
      <c r="X31" s="3" t="n">
        <v>0.0178499787567517</v>
      </c>
      <c r="Y31" s="3" t="n">
        <v>2.00845656652232E-005</v>
      </c>
      <c r="Z31" s="3" t="n">
        <v>0.0595303547860414</v>
      </c>
      <c r="AA31" s="3" t="n">
        <v>6.16114601849278E-006</v>
      </c>
      <c r="AB31" s="3" t="n">
        <v>0.408612027464784</v>
      </c>
      <c r="AC31" s="3" t="n">
        <v>0.638672276036334</v>
      </c>
      <c r="AD31" s="3" t="n">
        <v>0.0599589020912279</v>
      </c>
      <c r="AE31" s="3" t="n">
        <v>0.963360972600914</v>
      </c>
      <c r="AF31" s="3" t="n">
        <v>0.0248925455756926</v>
      </c>
      <c r="AG31" s="3" t="n">
        <v>0.000490898168882687</v>
      </c>
      <c r="AH31" s="3" t="n">
        <v>6.59096195614827E-005</v>
      </c>
      <c r="AI31" s="168" t="n">
        <v>0.0161037977418352</v>
      </c>
      <c r="AJ31" s="168" t="n">
        <v>2.20691870807245</v>
      </c>
      <c r="AK31" s="3" t="n">
        <v>2.07719392592734E-006</v>
      </c>
      <c r="AL31" s="3" t="n">
        <v>2.34767800926164E-006</v>
      </c>
      <c r="AM31" s="3" t="n">
        <v>2.83346327083053E-006</v>
      </c>
      <c r="AN31" s="3" t="n">
        <v>0.00048916681796419</v>
      </c>
      <c r="AO31" s="3" t="n">
        <v>0.000165555458844236</v>
      </c>
      <c r="AP31" s="3" t="n">
        <v>0.000852892948811939</v>
      </c>
      <c r="AQ31" s="168" t="n">
        <v>0.28607658892762</v>
      </c>
      <c r="AR31" s="3" t="n">
        <v>0.0973375771789749</v>
      </c>
      <c r="AS31" s="168" t="n">
        <v>0.504677351247933</v>
      </c>
      <c r="AT31" s="168" t="n">
        <v>1.260004295374E-007</v>
      </c>
      <c r="AU31" s="168" t="n">
        <v>1.16335926509284E-006</v>
      </c>
      <c r="AV31" s="3" t="n">
        <v>1.60298530578453E-007</v>
      </c>
      <c r="AW31" s="3" t="n">
        <v>8.83123740883323E-006</v>
      </c>
      <c r="AX31" s="168" t="n">
        <v>3.08915260163692E-007</v>
      </c>
      <c r="AY31" s="168" t="n">
        <v>2.20370686752256E-006</v>
      </c>
      <c r="AZ31" s="168" t="n">
        <v>1.49755186523327E-006</v>
      </c>
      <c r="BA31" s="3" t="n">
        <v>1.28701387864822E-007</v>
      </c>
      <c r="BB31" s="3" t="n">
        <v>3.16152968626109E-008</v>
      </c>
      <c r="BC31" s="3" t="n">
        <v>5.31371973194101E-008</v>
      </c>
      <c r="BD31" s="3" t="n">
        <v>4.78024805638752E-007</v>
      </c>
      <c r="BE31" s="3" t="n">
        <v>8.67934578950073E-008</v>
      </c>
      <c r="BF31" s="3" t="n">
        <v>0.000889306446823937</v>
      </c>
      <c r="BG31" s="3" t="n">
        <v>4.09508266929608E-005</v>
      </c>
      <c r="BH31" s="3" t="n">
        <v>1.88714713529808E-005</v>
      </c>
      <c r="BI31" s="168" t="n">
        <v>1.08886936782247E-005</v>
      </c>
      <c r="BJ31" s="168" t="n">
        <v>0.000279447748748373</v>
      </c>
      <c r="BK31" s="168" t="n">
        <v>3.55549215760232E-005</v>
      </c>
      <c r="BL31" s="168" t="n">
        <v>3.74489974169442E-006</v>
      </c>
      <c r="BM31" s="168" t="n">
        <v>3.49772419501411E-010</v>
      </c>
      <c r="BN31" s="3" t="n">
        <v>8.11994140758333E-011</v>
      </c>
      <c r="BO31" s="168" t="n">
        <v>1.54899376089814E-011</v>
      </c>
      <c r="BP31" s="3" t="n">
        <v>5.3237215561412E-011</v>
      </c>
      <c r="BQ31" s="3" t="n">
        <v>5.22556488627315E-012</v>
      </c>
      <c r="BR31" s="168" t="n">
        <v>1.41204705924051E-010</v>
      </c>
      <c r="BS31" s="3" t="n">
        <v>0.000185625008418422</v>
      </c>
      <c r="BT31" s="3" t="n">
        <v>1.05097115720805E-055</v>
      </c>
      <c r="BU31" s="3" t="n">
        <v>1.25672668388324E-057</v>
      </c>
      <c r="BV31" s="3" t="n">
        <v>4.74400268840407E-059</v>
      </c>
      <c r="BW31" s="3" t="n">
        <v>2.27130154061161E-058</v>
      </c>
      <c r="BX31" s="3" t="n">
        <v>2.5043151306967E-059</v>
      </c>
      <c r="BY31" s="3" t="n">
        <v>7.03154651086118E-056</v>
      </c>
      <c r="BZ31" s="169"/>
      <c r="CA31" s="169"/>
      <c r="CB31" s="169"/>
      <c r="CC31" s="169"/>
      <c r="CD31" s="169"/>
      <c r="CE31" s="169"/>
      <c r="CF31" s="169"/>
    </row>
    <row r="32" customFormat="false" ht="12.75" hidden="false" customHeight="false" outlineLevel="0" collapsed="false">
      <c r="A32" s="3" t="n">
        <v>6</v>
      </c>
      <c r="B32" s="3" t="n">
        <v>6.3</v>
      </c>
      <c r="C32" s="3" t="s">
        <v>244</v>
      </c>
      <c r="D32" s="3" t="s">
        <v>220</v>
      </c>
      <c r="E32" s="3" t="n">
        <v>0.0561233053044044</v>
      </c>
      <c r="F32" s="3" t="n">
        <v>0.0686576013252281</v>
      </c>
      <c r="G32" s="3" t="n">
        <v>1.70419520934681</v>
      </c>
      <c r="H32" s="3" t="n">
        <v>0.00214672530071394</v>
      </c>
      <c r="I32" s="168" t="n">
        <v>1.93486537371804</v>
      </c>
      <c r="J32" s="3" t="n">
        <v>1.99862161395256</v>
      </c>
      <c r="K32" s="3" t="n">
        <v>0.0174657970861081</v>
      </c>
      <c r="L32" s="3" t="n">
        <v>0</v>
      </c>
      <c r="M32" s="3" t="n">
        <v>0.0601748533231506</v>
      </c>
      <c r="N32" s="3" t="n">
        <v>0</v>
      </c>
      <c r="O32" s="168" t="n">
        <v>0.0179856698583339</v>
      </c>
      <c r="P32" s="3" t="n">
        <v>0</v>
      </c>
      <c r="Q32" s="3" t="n">
        <v>0.0366851964590282</v>
      </c>
      <c r="R32" s="3" t="n">
        <v>0.000295551903517409</v>
      </c>
      <c r="S32" s="3" t="n">
        <v>0.00928323046203603</v>
      </c>
      <c r="T32" s="168" t="n">
        <v>0</v>
      </c>
      <c r="U32" s="168" t="n">
        <v>0.037356732319666</v>
      </c>
      <c r="V32" s="168" t="n">
        <v>0.00014702680563096</v>
      </c>
      <c r="W32" s="168" t="n">
        <v>5.44575854861445E-008</v>
      </c>
      <c r="X32" s="168" t="n">
        <v>4.78573166690507E-005</v>
      </c>
      <c r="Y32" s="168" t="n">
        <v>7.98138764723824E-007</v>
      </c>
      <c r="Z32" s="3" t="n">
        <v>0.0010467683397664</v>
      </c>
      <c r="AA32" s="3" t="n">
        <v>1.29118103488425E-006</v>
      </c>
      <c r="AB32" s="3" t="n">
        <v>0.000260504747267329</v>
      </c>
      <c r="AC32" s="3" t="n">
        <v>0.00325496291736196</v>
      </c>
      <c r="AD32" s="3" t="n">
        <v>0.011478850321572</v>
      </c>
      <c r="AE32" s="168" t="n">
        <v>0.0356540594370225</v>
      </c>
      <c r="AF32" s="3" t="n">
        <v>0.00593248857777727</v>
      </c>
      <c r="AG32" s="3" t="n">
        <v>0.00035002847802584</v>
      </c>
      <c r="AH32" s="168" t="n">
        <v>3.881861903773E-006</v>
      </c>
      <c r="AI32" s="168" t="n">
        <v>0.00152798208804904</v>
      </c>
      <c r="AJ32" s="168" t="n">
        <v>0.0686576013252281</v>
      </c>
      <c r="AK32" s="168" t="n">
        <v>0.000397950142187452</v>
      </c>
      <c r="AL32" s="168" t="n">
        <v>1.97974238425028E-007</v>
      </c>
      <c r="AM32" s="168" t="n">
        <v>1.56682732176107E-006</v>
      </c>
      <c r="AN32" s="3" t="n">
        <v>0.000431759147565905</v>
      </c>
      <c r="AO32" s="3" t="n">
        <v>0.000182421684762798</v>
      </c>
      <c r="AP32" s="3" t="n">
        <v>0.000262917044984652</v>
      </c>
      <c r="AQ32" s="168" t="n">
        <v>0.274840528838085</v>
      </c>
      <c r="AR32" s="168" t="n">
        <v>0.107468545929437</v>
      </c>
      <c r="AS32" s="168" t="n">
        <v>0.15414093812686</v>
      </c>
      <c r="AT32" s="168" t="n">
        <v>3.75926432873416E-009</v>
      </c>
      <c r="AU32" s="168" t="n">
        <v>5.47353230154901E-006</v>
      </c>
      <c r="AV32" s="168" t="n">
        <v>1.58105280786353E-008</v>
      </c>
      <c r="AW32" s="168" t="n">
        <v>5.75889977544813E-006</v>
      </c>
      <c r="AX32" s="168" t="n">
        <v>5.1049321363325E-007</v>
      </c>
      <c r="AY32" s="168" t="n">
        <v>3.81176166756395E-005</v>
      </c>
      <c r="AZ32" s="168" t="n">
        <v>2.59919349541288E-006</v>
      </c>
      <c r="BA32" s="168" t="n">
        <v>1.9676896099476E-007</v>
      </c>
      <c r="BB32" s="168" t="n">
        <v>5.75064312634347E-008</v>
      </c>
      <c r="BC32" s="3" t="n">
        <v>2.69856236802969E-008</v>
      </c>
      <c r="BD32" s="3" t="n">
        <v>1.51317517676802E-005</v>
      </c>
      <c r="BE32" s="3" t="n">
        <v>1.92233937097674E-005</v>
      </c>
      <c r="BF32" s="3" t="n">
        <v>0.00152615820853186</v>
      </c>
      <c r="BG32" s="3" t="n">
        <v>0.000179790537716726</v>
      </c>
      <c r="BH32" s="3" t="n">
        <v>3.67381934123623E-005</v>
      </c>
      <c r="BI32" s="168" t="n">
        <v>5.86853582221896E-006</v>
      </c>
      <c r="BJ32" s="168" t="n">
        <v>0.00910478338232621</v>
      </c>
      <c r="BK32" s="168" t="n">
        <v>0.00451713724127241</v>
      </c>
      <c r="BL32" s="168" t="n">
        <v>4.80390489815001E-008</v>
      </c>
      <c r="BM32" s="168" t="n">
        <v>2.5057792384548E-008</v>
      </c>
      <c r="BN32" s="168" t="n">
        <v>1.83255067591503E-008</v>
      </c>
      <c r="BO32" s="168" t="n">
        <v>2.75225947525209E-007</v>
      </c>
      <c r="BP32" s="168" t="n">
        <v>8.4355507055669E-010</v>
      </c>
      <c r="BQ32" s="168" t="n">
        <v>2.5485053356419E-010</v>
      </c>
      <c r="BR32" s="168" t="n">
        <v>6.43226686514123E-011</v>
      </c>
      <c r="BS32" s="168" t="n">
        <v>2.36563576015179E-006</v>
      </c>
      <c r="BT32" s="168" t="n">
        <v>1.22829475741654E-006</v>
      </c>
      <c r="BU32" s="168" t="n">
        <v>9.12819060077633E-007</v>
      </c>
      <c r="BV32" s="168" t="n">
        <v>1.25183151676277E-005</v>
      </c>
      <c r="BW32" s="3" t="n">
        <v>8.3987712737901E-055</v>
      </c>
      <c r="BX32" s="3" t="n">
        <v>5.3033191278329E-055</v>
      </c>
      <c r="BY32" s="3" t="n">
        <v>1.59028932456269E-055</v>
      </c>
      <c r="BZ32" s="169"/>
      <c r="CA32" s="169"/>
      <c r="CB32" s="169"/>
      <c r="CC32" s="169"/>
      <c r="CD32" s="169"/>
      <c r="CE32" s="169"/>
      <c r="CF32" s="169"/>
    </row>
    <row r="33" customFormat="false" ht="12.75" hidden="false" customHeight="false" outlineLevel="0" collapsed="false">
      <c r="A33" s="3" t="n">
        <v>6</v>
      </c>
      <c r="B33" s="3" t="n">
        <v>6.4</v>
      </c>
      <c r="C33" s="3" t="s">
        <v>244</v>
      </c>
      <c r="D33" s="3" t="s">
        <v>220</v>
      </c>
      <c r="E33" s="3" t="n">
        <v>3.32176181003688</v>
      </c>
      <c r="F33" s="3" t="n">
        <v>5.72381727979628</v>
      </c>
      <c r="G33" s="3" t="n">
        <v>1.78165083429609</v>
      </c>
      <c r="H33" s="3" t="n">
        <v>0.325948524388829</v>
      </c>
      <c r="I33" s="3" t="n">
        <v>13.7277340848593</v>
      </c>
      <c r="J33" s="3" t="n">
        <v>9.86098644414586</v>
      </c>
      <c r="K33" s="3" t="n">
        <v>0.0197264274465292</v>
      </c>
      <c r="L33" s="3" t="n">
        <v>0</v>
      </c>
      <c r="M33" s="3" t="n">
        <v>0.0792248621599565</v>
      </c>
      <c r="N33" s="3" t="n">
        <v>0</v>
      </c>
      <c r="O33" s="3" t="n">
        <v>0.0367046990256927</v>
      </c>
      <c r="P33" s="3" t="n">
        <v>0</v>
      </c>
      <c r="Q33" s="3" t="n">
        <v>0.126195952377091</v>
      </c>
      <c r="R33" s="3" t="n">
        <v>0.000308775445049778</v>
      </c>
      <c r="S33" s="3" t="n">
        <v>0.0365615664210578</v>
      </c>
      <c r="T33" s="3" t="n">
        <v>0</v>
      </c>
      <c r="U33" s="3" t="n">
        <v>0.0733931314196735</v>
      </c>
      <c r="V33" s="3" t="n">
        <v>0.000603584044068808</v>
      </c>
      <c r="W33" s="3" t="n">
        <v>5.72186428173616E-006</v>
      </c>
      <c r="X33" s="3" t="n">
        <v>1.19768443946221E-005</v>
      </c>
      <c r="Y33" s="3" t="n">
        <v>6.47083555862594E-006</v>
      </c>
      <c r="Z33" s="3" t="n">
        <v>0.000488384739148753</v>
      </c>
      <c r="AA33" s="3" t="n">
        <v>2.37801806789812E-005</v>
      </c>
      <c r="AB33" s="3" t="n">
        <v>0.000440137426345837</v>
      </c>
      <c r="AC33" s="3" t="n">
        <v>0.194033321792589</v>
      </c>
      <c r="AD33" s="3" t="n">
        <v>0.0334749921562104</v>
      </c>
      <c r="AE33" s="3" t="n">
        <v>1.46258845234434</v>
      </c>
      <c r="AF33" s="3" t="n">
        <v>0.0357277645391202</v>
      </c>
      <c r="AG33" s="3" t="n">
        <v>0.000442522974988691</v>
      </c>
      <c r="AH33" s="3" t="n">
        <v>8.88109281776628E-005</v>
      </c>
      <c r="AI33" s="3" t="n">
        <v>0.00197948641042485</v>
      </c>
      <c r="AJ33" s="3" t="n">
        <v>5.72381727979628</v>
      </c>
      <c r="AK33" s="3" t="n">
        <v>3.29798533703656E-005</v>
      </c>
      <c r="AL33" s="3" t="n">
        <v>4.55099088194291E-006</v>
      </c>
      <c r="AM33" s="3" t="n">
        <v>5.96930706250535E-006</v>
      </c>
      <c r="AN33" s="3" t="n">
        <v>0.00048447928841752</v>
      </c>
      <c r="AO33" s="3" t="n">
        <v>0.000562510585545211</v>
      </c>
      <c r="AP33" s="3" t="n">
        <v>0.000489738768193078</v>
      </c>
      <c r="AQ33" s="3" t="n">
        <v>0.273019403975964</v>
      </c>
      <c r="AR33" s="3" t="n">
        <v>0.327082592391952</v>
      </c>
      <c r="AS33" s="3" t="n">
        <v>0.284219870013785</v>
      </c>
      <c r="AT33" s="3" t="n">
        <v>3.19701368682367E-006</v>
      </c>
      <c r="AU33" s="3" t="n">
        <v>0.000102051827972641</v>
      </c>
      <c r="AV33" s="3" t="n">
        <v>1.9310030382203E-006</v>
      </c>
      <c r="AW33" s="3" t="n">
        <v>5.49063610802825E-005</v>
      </c>
      <c r="AX33" s="3" t="n">
        <v>6.85400707752282E-006</v>
      </c>
      <c r="AY33" s="3" t="n">
        <v>8.42095248258685E-005</v>
      </c>
      <c r="AZ33" s="3" t="n">
        <v>7.13848163066456E-005</v>
      </c>
      <c r="BA33" s="3" t="n">
        <v>1.37218749413432E-005</v>
      </c>
      <c r="BB33" s="3" t="n">
        <v>2.8109924191566E-006</v>
      </c>
      <c r="BC33" s="3" t="n">
        <v>4.7684121943614E-006</v>
      </c>
      <c r="BD33" s="3" t="n">
        <v>0.000111975071959114</v>
      </c>
      <c r="BE33" s="3" t="n">
        <v>0.000200035230871306</v>
      </c>
      <c r="BF33" s="3" t="n">
        <v>0.0392681686126413</v>
      </c>
      <c r="BG33" s="3" t="n">
        <v>0.0116974460104242</v>
      </c>
      <c r="BH33" s="3" t="n">
        <v>0.00202630652033681</v>
      </c>
      <c r="BI33" s="3" t="n">
        <v>0.0046971400909846</v>
      </c>
      <c r="BJ33" s="168" t="n">
        <v>0.0610362552377245</v>
      </c>
      <c r="BK33" s="168" t="n">
        <v>0.0850985531036698</v>
      </c>
      <c r="BL33" s="168" t="n">
        <v>1.01279667294071E-006</v>
      </c>
      <c r="BM33" s="168" t="n">
        <v>1.56663182569278E-007</v>
      </c>
      <c r="BN33" s="168" t="n">
        <v>3.69038388184724E-008</v>
      </c>
      <c r="BO33" s="168" t="n">
        <v>1.00833647871674E-007</v>
      </c>
      <c r="BP33" s="3" t="n">
        <v>2.95626775856285E-007</v>
      </c>
      <c r="BQ33" s="168" t="n">
        <v>1.63480204481389E-006</v>
      </c>
      <c r="BR33" s="168" t="n">
        <v>2.33327164898E-006</v>
      </c>
      <c r="BS33" s="168" t="n">
        <v>4.9518077666934E-005</v>
      </c>
      <c r="BT33" s="168" t="n">
        <v>7.62541527661424E-006</v>
      </c>
      <c r="BU33" s="168" t="n">
        <v>1.82536911034797E-006</v>
      </c>
      <c r="BV33" s="168" t="n">
        <v>4.55241355970662E-006</v>
      </c>
      <c r="BW33" s="3" t="n">
        <v>1.39450950260928E-005</v>
      </c>
      <c r="BX33" s="3" t="n">
        <v>6.96491203568999E-005</v>
      </c>
      <c r="BY33" s="3" t="n">
        <v>0.000104727773664503</v>
      </c>
      <c r="BZ33" s="169"/>
      <c r="CA33" s="169"/>
      <c r="CB33" s="169"/>
      <c r="CC33" s="169"/>
      <c r="CD33" s="169"/>
      <c r="CE33" s="169"/>
      <c r="CF33" s="169"/>
    </row>
    <row r="34" customFormat="false" ht="12.75" hidden="true" customHeight="false" outlineLevel="0" collapsed="false">
      <c r="A34" s="3" t="n">
        <v>5</v>
      </c>
      <c r="B34" s="3" t="n">
        <v>5.1</v>
      </c>
      <c r="C34" s="3" t="s">
        <v>310</v>
      </c>
      <c r="D34" s="3" t="s">
        <v>245</v>
      </c>
      <c r="E34" s="3" t="n">
        <v>0.0437961428107683</v>
      </c>
      <c r="F34" s="3" t="n">
        <v>0.0167958435850037</v>
      </c>
      <c r="G34" s="3" t="n">
        <v>0.00230205784820213</v>
      </c>
      <c r="H34" s="3" t="n">
        <v>0.0435715963835702</v>
      </c>
      <c r="I34" s="168" t="n">
        <v>0.0176767248392335</v>
      </c>
      <c r="J34" s="3" t="n">
        <v>0.043046653132218</v>
      </c>
      <c r="K34" s="3" t="n">
        <v>0.0879789321248334</v>
      </c>
      <c r="L34" s="3" t="n">
        <v>4.05748494870409E-015</v>
      </c>
      <c r="M34" s="3" t="n">
        <v>0.192211238047838</v>
      </c>
      <c r="N34" s="3" t="n">
        <v>0</v>
      </c>
      <c r="O34" s="168" t="n">
        <v>0.121218661328798</v>
      </c>
      <c r="P34" s="3" t="n">
        <v>0</v>
      </c>
      <c r="Q34" s="3" t="n">
        <v>0.180218990842106</v>
      </c>
      <c r="R34" s="3" t="n">
        <v>8.88950413257169E-015</v>
      </c>
      <c r="S34" s="3" t="n">
        <v>0.0828955275405854</v>
      </c>
      <c r="T34" s="168" t="n">
        <v>0</v>
      </c>
      <c r="U34" s="3" t="n">
        <v>0.136142252830617</v>
      </c>
      <c r="V34" s="168" t="n">
        <v>0</v>
      </c>
      <c r="W34" s="3" t="n">
        <v>0.000364806352680145</v>
      </c>
      <c r="X34" s="168" t="n">
        <v>0.0105475732948823</v>
      </c>
      <c r="Y34" s="3" t="n">
        <v>0.000464213917267448</v>
      </c>
      <c r="Z34" s="3" t="n">
        <v>0.0290152090234319</v>
      </c>
      <c r="AA34" s="3" t="n">
        <v>0.00030401273776589</v>
      </c>
      <c r="AB34" s="3" t="n">
        <v>0.0204706257558485</v>
      </c>
      <c r="AC34" s="3" t="n">
        <v>0.032542034353802</v>
      </c>
      <c r="AD34" s="168" t="n">
        <v>0.0269441845301119</v>
      </c>
      <c r="AE34" s="3" t="n">
        <v>0.0155749331603472</v>
      </c>
      <c r="AF34" s="3" t="n">
        <v>0.0483824480091926</v>
      </c>
      <c r="AG34" s="3" t="n">
        <v>6.93889390390722E-018</v>
      </c>
      <c r="AH34" s="168" t="n">
        <v>0.000224727692739611</v>
      </c>
      <c r="AI34" s="168" t="n">
        <v>0.0219356011913911</v>
      </c>
      <c r="AJ34" s="168" t="n">
        <v>0.0167958435850037</v>
      </c>
      <c r="AK34" s="3" t="n">
        <v>9.56685906840879E-005</v>
      </c>
      <c r="AL34" s="3" t="n">
        <v>6.48036569016409E-005</v>
      </c>
      <c r="AM34" s="3" t="n">
        <v>7.10049335497581E-005</v>
      </c>
      <c r="AN34" s="3" t="n">
        <v>0</v>
      </c>
      <c r="AO34" s="3" t="n">
        <v>0</v>
      </c>
      <c r="AP34" s="3" t="n">
        <v>0</v>
      </c>
      <c r="AQ34" s="168" t="n">
        <v>6.41415223045718E-007</v>
      </c>
      <c r="AR34" s="3" t="n">
        <v>4.67636166684826E-007</v>
      </c>
      <c r="AS34" s="168" t="n">
        <v>5.63628663399877E-007</v>
      </c>
      <c r="AT34" s="168" t="n">
        <v>9.00947613041592E-005</v>
      </c>
      <c r="AU34" s="168" t="n">
        <v>0.000852986813318996</v>
      </c>
      <c r="AV34" s="168" t="n">
        <v>8.81002784215859E-005</v>
      </c>
      <c r="AW34" s="168" t="n">
        <v>0.00091354496268149</v>
      </c>
      <c r="AX34" s="168" t="n">
        <v>9.44297664780366E-005</v>
      </c>
      <c r="AY34" s="168" t="n">
        <v>0.000864755356708999</v>
      </c>
      <c r="AZ34" s="168" t="n">
        <v>0.000312917775021993</v>
      </c>
      <c r="BA34" s="3" t="n">
        <v>8.48088264382756E-005</v>
      </c>
      <c r="BB34" s="3" t="n">
        <v>0.000196138821593056</v>
      </c>
      <c r="BC34" s="3" t="n">
        <v>7.69296861774598E-005</v>
      </c>
      <c r="BD34" s="3" t="n">
        <v>0.000298082981031228</v>
      </c>
      <c r="BE34" s="3" t="n">
        <v>0.000132967698074925</v>
      </c>
      <c r="BF34" s="3" t="n">
        <v>0.00768540227438121</v>
      </c>
      <c r="BG34" s="3" t="n">
        <v>0.0016047426754705</v>
      </c>
      <c r="BH34" s="3" t="n">
        <v>0.00481320441349567</v>
      </c>
      <c r="BI34" s="168" t="n">
        <v>0.00144448118440734</v>
      </c>
      <c r="BJ34" s="168" t="n">
        <v>0.00732221977624135</v>
      </c>
      <c r="BK34" s="168" t="n">
        <v>0.0024985404237609</v>
      </c>
      <c r="BL34" s="168" t="n">
        <v>2.37698535172576E-007</v>
      </c>
      <c r="BM34" s="168" t="n">
        <v>2.00923761588853E-007</v>
      </c>
      <c r="BN34" s="168" t="n">
        <v>2.11121147822692E-007</v>
      </c>
      <c r="BO34" s="168" t="n">
        <v>2.23584076686659E-007</v>
      </c>
      <c r="BP34" s="168" t="n">
        <v>1.91841120858313E-007</v>
      </c>
      <c r="BQ34" s="168" t="n">
        <v>1.84645028816555E-007</v>
      </c>
      <c r="BR34" s="168" t="n">
        <v>1.6082682535455E-007</v>
      </c>
      <c r="BS34" s="168" t="n">
        <v>1.0643535697333E-031</v>
      </c>
      <c r="BT34" s="168" t="n">
        <v>6.17056889535572E-032</v>
      </c>
      <c r="BU34" s="168" t="n">
        <v>4.1075829006968E-032</v>
      </c>
      <c r="BV34" s="168" t="n">
        <v>3.1393084185291E-032</v>
      </c>
      <c r="BW34" s="3" t="n">
        <v>8.96464791631996E-032</v>
      </c>
      <c r="BX34" s="3" t="n">
        <v>3.16480393836039E-032</v>
      </c>
      <c r="BY34" s="3" t="n">
        <v>2.18325788115992E-032</v>
      </c>
      <c r="BZ34" s="169"/>
      <c r="CA34" s="169"/>
      <c r="CB34" s="169"/>
      <c r="CC34" s="169"/>
      <c r="CD34" s="169"/>
      <c r="CE34" s="169"/>
      <c r="CF34" s="169"/>
    </row>
    <row r="35" customFormat="false" ht="12.75" hidden="true" customHeight="false" outlineLevel="0" collapsed="false">
      <c r="A35" s="3" t="n">
        <v>5</v>
      </c>
      <c r="B35" s="3" t="n">
        <v>5.1</v>
      </c>
      <c r="C35" s="3" t="s">
        <v>311</v>
      </c>
      <c r="D35" s="3" t="s">
        <v>245</v>
      </c>
      <c r="E35" s="3" t="n">
        <v>0.0352427364464221</v>
      </c>
      <c r="F35" s="3" t="n">
        <v>0.0108593897735382</v>
      </c>
      <c r="G35" s="3" t="n">
        <v>0.00260570521209316</v>
      </c>
      <c r="H35" s="3" t="n">
        <v>0.0325719720368544</v>
      </c>
      <c r="I35" s="168" t="n">
        <v>0.0108960482350725</v>
      </c>
      <c r="J35" s="3" t="n">
        <v>0.0353670974261427</v>
      </c>
      <c r="K35" s="3" t="n">
        <v>0.0900216704184534</v>
      </c>
      <c r="L35" s="3" t="n">
        <v>4.19055243568485E-015</v>
      </c>
      <c r="M35" s="3" t="n">
        <v>0.139920087617339</v>
      </c>
      <c r="N35" s="3" t="n">
        <v>0</v>
      </c>
      <c r="O35" s="168" t="n">
        <v>0.0783551048622322</v>
      </c>
      <c r="P35" s="3" t="n">
        <v>0</v>
      </c>
      <c r="Q35" s="3" t="n">
        <v>0.141195740726404</v>
      </c>
      <c r="R35" s="3" t="n">
        <v>9.37036010946864E-015</v>
      </c>
      <c r="S35" s="3" t="n">
        <v>0.0813965760772563</v>
      </c>
      <c r="T35" s="168" t="n">
        <v>0</v>
      </c>
      <c r="U35" s="3" t="n">
        <v>0.152041415808368</v>
      </c>
      <c r="V35" s="168" t="n">
        <v>0</v>
      </c>
      <c r="W35" s="3" t="n">
        <v>0.000283525977460507</v>
      </c>
      <c r="X35" s="168" t="n">
        <v>0.0100548777047562</v>
      </c>
      <c r="Y35" s="3" t="n">
        <v>0.0002716465813932</v>
      </c>
      <c r="Z35" s="3" t="n">
        <v>0.0237675029605734</v>
      </c>
      <c r="AA35" s="3" t="n">
        <v>0.000225190772455881</v>
      </c>
      <c r="AB35" s="3" t="n">
        <v>0.00849387636818456</v>
      </c>
      <c r="AC35" s="3" t="n">
        <v>0.0250819415896334</v>
      </c>
      <c r="AD35" s="168" t="n">
        <v>0.0237251459687637</v>
      </c>
      <c r="AE35" s="3" t="n">
        <v>0.00589034584993822</v>
      </c>
      <c r="AF35" s="3" t="n">
        <v>0.0352051322736563</v>
      </c>
      <c r="AG35" s="3" t="n">
        <v>6.30671389519322E-018</v>
      </c>
      <c r="AH35" s="168" t="n">
        <v>0.000208105885421581</v>
      </c>
      <c r="AI35" s="168" t="n">
        <v>0.0129212758901327</v>
      </c>
      <c r="AJ35" s="168" t="n">
        <v>0.0108593897735382</v>
      </c>
      <c r="AK35" s="168" t="n">
        <v>8.3455976796411E-005</v>
      </c>
      <c r="AL35" s="3" t="n">
        <v>5.30667814433247E-005</v>
      </c>
      <c r="AM35" s="3" t="n">
        <v>6.93887715460266E-005</v>
      </c>
      <c r="AN35" s="3" t="n">
        <v>0</v>
      </c>
      <c r="AO35" s="3" t="n">
        <v>0</v>
      </c>
      <c r="AP35" s="3" t="n">
        <v>0</v>
      </c>
      <c r="AQ35" s="168" t="n">
        <v>4.28760635487098E-007</v>
      </c>
      <c r="AR35" s="3" t="n">
        <v>4.57428521139914E-007</v>
      </c>
      <c r="AS35" s="168" t="n">
        <v>6.52866896754061E-007</v>
      </c>
      <c r="AT35" s="168" t="n">
        <v>6.27232563251807E-005</v>
      </c>
      <c r="AU35" s="168" t="n">
        <v>0.000437101074437814</v>
      </c>
      <c r="AV35" s="168" t="n">
        <v>5.75443773306695E-005</v>
      </c>
      <c r="AW35" s="168" t="n">
        <v>0.000673168343772365</v>
      </c>
      <c r="AX35" s="168" t="n">
        <v>6.04721081947114E-005</v>
      </c>
      <c r="AY35" s="168" t="n">
        <v>0.000485042089313278</v>
      </c>
      <c r="AZ35" s="168" t="n">
        <v>0.000273556594424567</v>
      </c>
      <c r="BA35" s="3" t="n">
        <v>8.38018448537615E-005</v>
      </c>
      <c r="BB35" s="3" t="n">
        <v>0.000236826682217103</v>
      </c>
      <c r="BC35" s="3" t="n">
        <v>9.25105655836621E-005</v>
      </c>
      <c r="BD35" s="3" t="n">
        <v>0.000159801478774276</v>
      </c>
      <c r="BE35" s="3" t="n">
        <v>9.63995740790435E-005</v>
      </c>
      <c r="BF35" s="3" t="n">
        <v>0.00671735603646834</v>
      </c>
      <c r="BG35" s="3" t="n">
        <v>0.00158007902369618</v>
      </c>
      <c r="BH35" s="3" t="n">
        <v>0.00581464287116539</v>
      </c>
      <c r="BI35" s="168" t="n">
        <v>0.00173758390879224</v>
      </c>
      <c r="BJ35" s="168" t="n">
        <v>0.00392422392926861</v>
      </c>
      <c r="BK35" s="168" t="n">
        <v>0.00181439734863029</v>
      </c>
      <c r="BL35" s="168" t="n">
        <v>1.94963543972356E-007</v>
      </c>
      <c r="BM35" s="168" t="n">
        <v>2.29946318719725E-007</v>
      </c>
      <c r="BN35" s="168" t="n">
        <v>2.51863985464204E-007</v>
      </c>
      <c r="BO35" s="168" t="n">
        <v>3.05966465435371E-007</v>
      </c>
      <c r="BP35" s="168" t="n">
        <v>2.7422643769417E-007</v>
      </c>
      <c r="BQ35" s="168" t="n">
        <v>2.58192410978627E-007</v>
      </c>
      <c r="BR35" s="168" t="n">
        <v>1.8276174083501E-007</v>
      </c>
      <c r="BS35" s="168" t="n">
        <v>7.14676883294534E-032</v>
      </c>
      <c r="BT35" s="168" t="n">
        <v>6.22622478287004E-032</v>
      </c>
      <c r="BU35" s="168" t="n">
        <v>3.70404585302536E-032</v>
      </c>
      <c r="BV35" s="168" t="n">
        <v>3.89739915336574E-032</v>
      </c>
      <c r="BW35" s="3" t="n">
        <v>1.2001245483062E-031</v>
      </c>
      <c r="BX35" s="3" t="n">
        <v>2.26653897552614E-032</v>
      </c>
      <c r="BY35" s="3" t="n">
        <v>1.50443735448688E-032</v>
      </c>
      <c r="BZ35" s="169"/>
      <c r="CA35" s="169"/>
      <c r="CB35" s="169"/>
      <c r="CC35" s="169"/>
      <c r="CD35" s="169"/>
      <c r="CE35" s="169"/>
      <c r="CF35" s="169"/>
    </row>
    <row r="36" customFormat="false" ht="12.75" hidden="true" customHeight="false" outlineLevel="0" collapsed="false">
      <c r="A36" s="3" t="n">
        <v>5</v>
      </c>
      <c r="B36" s="3" t="n">
        <v>5.1</v>
      </c>
      <c r="C36" s="3" t="s">
        <v>312</v>
      </c>
      <c r="D36" s="3" t="s">
        <v>245</v>
      </c>
      <c r="E36" s="3" t="n">
        <v>0.0440708233759712</v>
      </c>
      <c r="F36" s="3" t="n">
        <v>0.0161269952346087</v>
      </c>
      <c r="G36" s="3" t="n">
        <v>0.00346784915351847</v>
      </c>
      <c r="H36" s="3" t="n">
        <v>0.0447936902968005</v>
      </c>
      <c r="I36" s="3" t="n">
        <v>0.0155357099038281</v>
      </c>
      <c r="J36" s="3" t="n">
        <v>0.0438357103756126</v>
      </c>
      <c r="K36" s="3" t="n">
        <v>0.0888617773587817</v>
      </c>
      <c r="L36" s="3" t="n">
        <v>3.62912486519383E-015</v>
      </c>
      <c r="M36" s="3" t="n">
        <v>0.185226114969424</v>
      </c>
      <c r="N36" s="3" t="n">
        <v>0</v>
      </c>
      <c r="O36" s="3" t="n">
        <v>0.11518984586577</v>
      </c>
      <c r="P36" s="3" t="n">
        <v>0</v>
      </c>
      <c r="Q36" s="3" t="n">
        <v>0.174190932450076</v>
      </c>
      <c r="R36" s="3" t="n">
        <v>1.45164994607753E-014</v>
      </c>
      <c r="S36" s="3" t="n">
        <v>0.0835120190213072</v>
      </c>
      <c r="T36" s="3" t="n">
        <v>0</v>
      </c>
      <c r="U36" s="3" t="n">
        <v>0.140583686933748</v>
      </c>
      <c r="V36" s="3" t="n">
        <v>0</v>
      </c>
      <c r="W36" s="3" t="n">
        <v>0.000273301583156398</v>
      </c>
      <c r="X36" s="3" t="n">
        <v>0.0116251372494156</v>
      </c>
      <c r="Y36" s="3" t="n">
        <v>0.000334220141344649</v>
      </c>
      <c r="Z36" s="3" t="n">
        <v>0.0210809112635439</v>
      </c>
      <c r="AA36" s="3" t="n">
        <v>0.000240771539479209</v>
      </c>
      <c r="AB36" s="3" t="n">
        <v>0.0145147071466916</v>
      </c>
      <c r="AC36" s="3" t="n">
        <v>0.0250128635653567</v>
      </c>
      <c r="AD36" s="3" t="n">
        <v>0.0287150803887403</v>
      </c>
      <c r="AE36" s="3" t="n">
        <v>0.00895216268097623</v>
      </c>
      <c r="AF36" s="3" t="n">
        <v>0.0466073186701743</v>
      </c>
      <c r="AG36" s="3" t="n">
        <v>5.78743758630969E-018</v>
      </c>
      <c r="AH36" s="3" t="n">
        <v>0.000169008994510247</v>
      </c>
      <c r="AI36" s="3" t="n">
        <v>0.0191061131747083</v>
      </c>
      <c r="AJ36" s="3" t="n">
        <v>0.0161269952346087</v>
      </c>
      <c r="AK36" s="3" t="n">
        <v>9.93325893914853E-005</v>
      </c>
      <c r="AL36" s="3" t="n">
        <v>7.06293967568173E-005</v>
      </c>
      <c r="AM36" s="3" t="n">
        <v>8.25119820020853E-005</v>
      </c>
      <c r="AN36" s="168" t="n">
        <v>0</v>
      </c>
      <c r="AO36" s="168" t="n">
        <v>0</v>
      </c>
      <c r="AP36" s="168" t="n">
        <v>0</v>
      </c>
      <c r="AQ36" s="3" t="n">
        <v>6.24589894742613E-007</v>
      </c>
      <c r="AR36" s="3" t="n">
        <v>3.85065127269297E-007</v>
      </c>
      <c r="AS36" s="3" t="n">
        <v>7.74622419539898E-007</v>
      </c>
      <c r="AT36" s="3" t="n">
        <v>6.6193378866847E-005</v>
      </c>
      <c r="AU36" s="3" t="n">
        <v>0.000370400414357828</v>
      </c>
      <c r="AV36" s="3" t="n">
        <v>5.42171419235163E-005</v>
      </c>
      <c r="AW36" s="3" t="n">
        <v>0.000423216256433033</v>
      </c>
      <c r="AX36" s="3" t="n">
        <v>5.22483860098825E-005</v>
      </c>
      <c r="AY36" s="3" t="n">
        <v>0.000426915860766655</v>
      </c>
      <c r="AZ36" s="3" t="n">
        <v>0.000164775537596937</v>
      </c>
      <c r="BA36" s="3" t="n">
        <v>0.000103091382896063</v>
      </c>
      <c r="BB36" s="3" t="n">
        <v>0.000265944912169712</v>
      </c>
      <c r="BC36" s="3" t="n">
        <v>6.65421855930575E-005</v>
      </c>
      <c r="BD36" s="3" t="n">
        <v>0.000217619884660074</v>
      </c>
      <c r="BE36" s="3" t="n">
        <v>0.000124978196329583</v>
      </c>
      <c r="BF36" s="3" t="n">
        <v>0.00404589142430103</v>
      </c>
      <c r="BG36" s="3" t="n">
        <v>0.00194479338069376</v>
      </c>
      <c r="BH36" s="3" t="n">
        <v>0.00653016486789041</v>
      </c>
      <c r="BI36" s="168" t="n">
        <v>0.00124881954170587</v>
      </c>
      <c r="BJ36" s="168" t="n">
        <v>0.00534349206479261</v>
      </c>
      <c r="BK36" s="168" t="n">
        <v>0.00235314970201735</v>
      </c>
      <c r="BL36" s="168" t="n">
        <v>2.0786249199822E-007</v>
      </c>
      <c r="BM36" s="168" t="n">
        <v>2.18214900061145E-007</v>
      </c>
      <c r="BN36" s="168" t="n">
        <v>2.14640965470179E-007</v>
      </c>
      <c r="BO36" s="168" t="n">
        <v>2.32531735562005E-007</v>
      </c>
      <c r="BP36" s="168" t="n">
        <v>2.64380496002762E-007</v>
      </c>
      <c r="BQ36" s="168" t="n">
        <v>2.17361325940225E-007</v>
      </c>
      <c r="BR36" s="168" t="n">
        <v>1.85732073666358E-007</v>
      </c>
      <c r="BS36" s="168" t="n">
        <v>8.51942088134204E-032</v>
      </c>
      <c r="BT36" s="168" t="n">
        <v>6.49136559865319E-032</v>
      </c>
      <c r="BU36" s="168" t="n">
        <v>4.33123764562713E-032</v>
      </c>
      <c r="BV36" s="168" t="n">
        <v>3.94997968030729E-032</v>
      </c>
      <c r="BW36" s="3" t="n">
        <v>1.26880183618502E-031</v>
      </c>
      <c r="BX36" s="3" t="n">
        <v>2.89766952222435E-032</v>
      </c>
      <c r="BY36" s="3" t="n">
        <v>1.34198456671991E-032</v>
      </c>
      <c r="BZ36" s="169"/>
      <c r="CA36" s="169"/>
      <c r="CB36" s="169"/>
      <c r="CC36" s="169"/>
      <c r="CD36" s="169"/>
      <c r="CE36" s="169"/>
      <c r="CF36" s="169"/>
    </row>
    <row r="37" customFormat="false" ht="12.75" hidden="true" customHeight="false" outlineLevel="0" collapsed="false">
      <c r="A37" s="3" t="n">
        <v>5</v>
      </c>
      <c r="B37" s="3" t="n">
        <v>5.2</v>
      </c>
      <c r="C37" s="3" t="s">
        <v>313</v>
      </c>
      <c r="D37" s="3" t="s">
        <v>245</v>
      </c>
      <c r="E37" s="3" t="n">
        <v>0.252455823157002</v>
      </c>
      <c r="F37" s="3" t="n">
        <v>0.259885739575655</v>
      </c>
      <c r="G37" s="3" t="n">
        <v>0.310026770562484</v>
      </c>
      <c r="H37" s="3" t="n">
        <v>0.0331500603811732</v>
      </c>
      <c r="I37" s="168" t="n">
        <v>0.0656069513689672</v>
      </c>
      <c r="J37" s="3" t="n">
        <v>0.0697736072628601</v>
      </c>
      <c r="K37" s="3" t="n">
        <v>0.0768047037688168</v>
      </c>
      <c r="L37" s="3" t="n">
        <v>3.62912486519383E-015</v>
      </c>
      <c r="M37" s="3" t="n">
        <v>0.110494001096268</v>
      </c>
      <c r="N37" s="3" t="n">
        <v>0</v>
      </c>
      <c r="O37" s="168" t="n">
        <v>0.0772165224490855</v>
      </c>
      <c r="P37" s="3" t="n">
        <v>0</v>
      </c>
      <c r="Q37" s="3" t="n">
        <v>0.134868704374174</v>
      </c>
      <c r="R37" s="3" t="n">
        <v>1.45164994607753E-014</v>
      </c>
      <c r="S37" s="3" t="n">
        <v>0.0822509436270218</v>
      </c>
      <c r="T37" s="168" t="n">
        <v>0</v>
      </c>
      <c r="U37" s="3" t="n">
        <v>0.160144269465857</v>
      </c>
      <c r="V37" s="168" t="n">
        <v>0</v>
      </c>
      <c r="W37" s="168" t="n">
        <v>0.000734549543359241</v>
      </c>
      <c r="X37" s="168" t="n">
        <v>0.0905341692074113</v>
      </c>
      <c r="Y37" s="168" t="n">
        <v>0.000618858244504598</v>
      </c>
      <c r="Z37" s="3" t="n">
        <v>0.0232653260943302</v>
      </c>
      <c r="AA37" s="3" t="n">
        <v>0.000275849146654745</v>
      </c>
      <c r="AB37" s="168" t="n">
        <v>0.0141178960535584</v>
      </c>
      <c r="AC37" s="168" t="n">
        <v>0.139837766332105</v>
      </c>
      <c r="AD37" s="168" t="n">
        <v>0.11927367039408</v>
      </c>
      <c r="AE37" s="168" t="n">
        <v>0.0109665995191989</v>
      </c>
      <c r="AF37" s="3" t="n">
        <v>0.0282107854284975</v>
      </c>
      <c r="AG37" s="3" t="n">
        <v>3.00724078353665E-017</v>
      </c>
      <c r="AH37" s="168" t="n">
        <v>0.00288151590277944</v>
      </c>
      <c r="AI37" s="168" t="n">
        <v>0.0648838556886469</v>
      </c>
      <c r="AJ37" s="168" t="n">
        <v>0.259885739575655</v>
      </c>
      <c r="AK37" s="168" t="n">
        <v>0.000351244732797996</v>
      </c>
      <c r="AL37" s="168" t="n">
        <v>0.000638384827831098</v>
      </c>
      <c r="AM37" s="168" t="n">
        <v>0.000334543329227683</v>
      </c>
      <c r="AN37" s="3" t="n">
        <v>0.00445447632595325</v>
      </c>
      <c r="AO37" s="3" t="n">
        <v>0.00302732203407083</v>
      </c>
      <c r="AP37" s="3" t="n">
        <v>0.00308333302281238</v>
      </c>
      <c r="AQ37" s="168" t="n">
        <v>0.108269719322873</v>
      </c>
      <c r="AR37" s="168" t="n">
        <v>0.0727518428883078</v>
      </c>
      <c r="AS37" s="168" t="n">
        <v>0.0746708411030947</v>
      </c>
      <c r="AT37" s="168" t="n">
        <v>8.89309645126125E-005</v>
      </c>
      <c r="AU37" s="168" t="n">
        <v>0.00596842347454651</v>
      </c>
      <c r="AV37" s="168" t="n">
        <v>8.25390864805799E-005</v>
      </c>
      <c r="AW37" s="168" t="n">
        <v>0.00126247950923285</v>
      </c>
      <c r="AX37" s="168" t="n">
        <v>0.000233586364097423</v>
      </c>
      <c r="AY37" s="168" t="n">
        <v>0.0017183272998737</v>
      </c>
      <c r="AZ37" s="168" t="n">
        <v>0.000458858237041339</v>
      </c>
      <c r="BA37" s="168" t="n">
        <v>0.000343449722253889</v>
      </c>
      <c r="BB37" s="168" t="n">
        <v>0.000335284067834754</v>
      </c>
      <c r="BC37" s="168" t="n">
        <v>0.000492867565388051</v>
      </c>
      <c r="BD37" s="168" t="n">
        <v>0.0033978203609154</v>
      </c>
      <c r="BE37" s="168" t="n">
        <v>0.0038871812131942</v>
      </c>
      <c r="BF37" s="168" t="n">
        <v>0.011230793317225</v>
      </c>
      <c r="BG37" s="3" t="n">
        <v>0.00677910843287365</v>
      </c>
      <c r="BH37" s="3" t="n">
        <v>0.00821204868762648</v>
      </c>
      <c r="BI37" s="168" t="n">
        <v>0.00951657957208534</v>
      </c>
      <c r="BJ37" s="168" t="n">
        <v>0.0830167298914903</v>
      </c>
      <c r="BK37" s="168" t="n">
        <v>0.0723760167950598</v>
      </c>
      <c r="BL37" s="168" t="n">
        <v>0.000102979482619352</v>
      </c>
      <c r="BM37" s="3" t="n">
        <v>7.26535248980302E-006</v>
      </c>
      <c r="BN37" s="168" t="n">
        <v>2.69783855362941E-006</v>
      </c>
      <c r="BO37" s="168" t="n">
        <v>2.28957669714326E-006</v>
      </c>
      <c r="BP37" s="168" t="n">
        <v>0.113902199681276</v>
      </c>
      <c r="BQ37" s="168" t="n">
        <v>2.34192163495608E-006</v>
      </c>
      <c r="BR37" s="168" t="n">
        <v>3.76946916309468E-006</v>
      </c>
      <c r="BS37" s="168" t="n">
        <v>0.000725343995735289</v>
      </c>
      <c r="BT37" s="168" t="n">
        <v>1.54913235163739E-028</v>
      </c>
      <c r="BU37" s="168" t="n">
        <v>1.37854309555652E-029</v>
      </c>
      <c r="BV37" s="168" t="n">
        <v>5.09088092500793E-030</v>
      </c>
      <c r="BW37" s="3" t="n">
        <v>3.86156292455477E-021</v>
      </c>
      <c r="BX37" s="3" t="n">
        <v>1.15160782062684E-029</v>
      </c>
      <c r="BY37" s="3" t="n">
        <v>9.31153659972265E-029</v>
      </c>
      <c r="BZ37" s="169"/>
      <c r="CA37" s="169"/>
      <c r="CB37" s="169"/>
      <c r="CC37" s="169"/>
      <c r="CD37" s="169"/>
      <c r="CE37" s="169"/>
      <c r="CF37" s="169"/>
    </row>
    <row r="38" customFormat="false" ht="12.75" hidden="true" customHeight="false" outlineLevel="0" collapsed="false">
      <c r="A38" s="3" t="n">
        <v>5</v>
      </c>
      <c r="B38" s="3" t="n">
        <v>5.2</v>
      </c>
      <c r="C38" s="3" t="s">
        <v>314</v>
      </c>
      <c r="D38" s="3" t="s">
        <v>245</v>
      </c>
      <c r="E38" s="3" t="n">
        <v>0.14775072017281</v>
      </c>
      <c r="F38" s="3" t="n">
        <v>0.133112855192089</v>
      </c>
      <c r="G38" s="3" t="n">
        <v>0.10428643896267</v>
      </c>
      <c r="H38" s="3" t="n">
        <v>0.0431006837363673</v>
      </c>
      <c r="I38" s="168" t="n">
        <v>0.0445692575928799</v>
      </c>
      <c r="J38" s="3" t="n">
        <v>0.0751093102319054</v>
      </c>
      <c r="K38" s="3" t="n">
        <v>0.115511220560438</v>
      </c>
      <c r="L38" s="3" t="n">
        <v>4.19055243568485E-015</v>
      </c>
      <c r="M38" s="3" t="n">
        <v>0.191301327495257</v>
      </c>
      <c r="N38" s="3" t="n">
        <v>0</v>
      </c>
      <c r="O38" s="168" t="n">
        <v>0.0907183841042787</v>
      </c>
      <c r="P38" s="3" t="n">
        <v>0</v>
      </c>
      <c r="Q38" s="3" t="n">
        <v>0.142055966861708</v>
      </c>
      <c r="R38" s="3" t="n">
        <v>8.3811048713697E-015</v>
      </c>
      <c r="S38" s="3" t="n">
        <v>0.0943116103630788</v>
      </c>
      <c r="T38" s="168" t="n">
        <v>0</v>
      </c>
      <c r="U38" s="3" t="n">
        <v>0.186044188983021</v>
      </c>
      <c r="V38" s="168" t="n">
        <v>0</v>
      </c>
      <c r="W38" s="168" t="n">
        <v>0.000256731791924542</v>
      </c>
      <c r="X38" s="168" t="n">
        <v>0.0565737373384725</v>
      </c>
      <c r="Y38" s="168" t="n">
        <v>0.000311518941614772</v>
      </c>
      <c r="Z38" s="3" t="n">
        <v>0.0268323387326486</v>
      </c>
      <c r="AA38" s="3" t="n">
        <v>0.000307935496679463</v>
      </c>
      <c r="AB38" s="168" t="n">
        <v>0.0133777596839385</v>
      </c>
      <c r="AC38" s="3" t="n">
        <v>0.0860283824246909</v>
      </c>
      <c r="AD38" s="168" t="n">
        <v>0.0732036508157473</v>
      </c>
      <c r="AE38" s="168" t="n">
        <v>0.00910392261331787</v>
      </c>
      <c r="AF38" s="168" t="n">
        <v>0.048283923420426</v>
      </c>
      <c r="AG38" s="3" t="n">
        <v>3.22230887451581E-017</v>
      </c>
      <c r="AH38" s="168" t="n">
        <v>0.00113821520668944</v>
      </c>
      <c r="AI38" s="168" t="n">
        <v>0.011316245615796</v>
      </c>
      <c r="AJ38" s="168" t="n">
        <v>0.133112855192089</v>
      </c>
      <c r="AK38" s="168" t="n">
        <v>0.000157505463443414</v>
      </c>
      <c r="AL38" s="168" t="n">
        <v>0.000437698195272555</v>
      </c>
      <c r="AM38" s="168" t="n">
        <v>0.000220089293473641</v>
      </c>
      <c r="AN38" s="168" t="n">
        <v>0.00125969055410508</v>
      </c>
      <c r="AO38" s="3" t="n">
        <v>0.00144272564665693</v>
      </c>
      <c r="AP38" s="3" t="n">
        <v>0.00193933413935246</v>
      </c>
      <c r="AQ38" s="168" t="n">
        <v>0.0306545389612624</v>
      </c>
      <c r="AR38" s="168" t="n">
        <v>0.0345126393579108</v>
      </c>
      <c r="AS38" s="168" t="n">
        <v>0.0473556489481154</v>
      </c>
      <c r="AT38" s="168" t="n">
        <v>4.91415671619905E-005</v>
      </c>
      <c r="AU38" s="168" t="n">
        <v>0.00686548497642022</v>
      </c>
      <c r="AV38" s="168" t="n">
        <v>5.26347373865389E-005</v>
      </c>
      <c r="AW38" s="168" t="n">
        <v>0.000775850132276475</v>
      </c>
      <c r="AX38" s="168" t="n">
        <v>8.5090456557048E-005</v>
      </c>
      <c r="AY38" s="168" t="n">
        <v>0.000745618818572282</v>
      </c>
      <c r="AZ38" s="168" t="n">
        <v>0.000472063581300037</v>
      </c>
      <c r="BA38" s="168" t="n">
        <v>0.00039094906344161</v>
      </c>
      <c r="BB38" s="168" t="n">
        <v>0.00040325641129379</v>
      </c>
      <c r="BC38" s="168" t="n">
        <v>0.000405650158424484</v>
      </c>
      <c r="BD38" s="168" t="n">
        <v>0.00106835073419006</v>
      </c>
      <c r="BE38" s="168" t="n">
        <v>0.0012249041535407</v>
      </c>
      <c r="BF38" s="168" t="n">
        <v>0.0115429116324956</v>
      </c>
      <c r="BG38" s="168" t="n">
        <v>0.00833418802167778</v>
      </c>
      <c r="BH38" s="168" t="n">
        <v>0.00986660695691009</v>
      </c>
      <c r="BI38" s="168" t="n">
        <v>0.00772673473446844</v>
      </c>
      <c r="BJ38" s="168" t="n">
        <v>0.0261073916212599</v>
      </c>
      <c r="BK38" s="168" t="n">
        <v>0.0230075802214465</v>
      </c>
      <c r="BL38" s="168" t="n">
        <v>0.000110343405665376</v>
      </c>
      <c r="BM38" s="168" t="n">
        <v>9.96534979279474E-007</v>
      </c>
      <c r="BN38" s="168" t="n">
        <v>9.76389866300593E-007</v>
      </c>
      <c r="BO38" s="168" t="n">
        <v>5.34426520145457E-007</v>
      </c>
      <c r="BP38" s="168" t="n">
        <v>6.95260164004938E-007</v>
      </c>
      <c r="BQ38" s="168" t="n">
        <v>1.61869246750203E-007</v>
      </c>
      <c r="BR38" s="168" t="n">
        <v>4.11612881923314E-007</v>
      </c>
      <c r="BS38" s="168" t="n">
        <v>0.00077719781925524</v>
      </c>
      <c r="BT38" s="168" t="n">
        <v>2.51509950173927E-029</v>
      </c>
      <c r="BU38" s="168" t="n">
        <v>7.26771525780055E-030</v>
      </c>
      <c r="BV38" s="168" t="n">
        <v>2.12667585269339E-030</v>
      </c>
      <c r="BW38" s="3" t="n">
        <v>3.9302450547613E-030</v>
      </c>
      <c r="BX38" s="3" t="n">
        <v>9.86122844876924E-031</v>
      </c>
      <c r="BY38" s="3" t="n">
        <v>1.05469099517258E-029</v>
      </c>
      <c r="BZ38" s="169"/>
      <c r="CA38" s="169"/>
      <c r="CB38" s="169"/>
      <c r="CC38" s="169"/>
      <c r="CD38" s="169"/>
      <c r="CE38" s="169"/>
      <c r="CF38" s="169"/>
    </row>
    <row r="39" customFormat="false" ht="12.75" hidden="true" customHeight="false" outlineLevel="0" collapsed="false">
      <c r="A39" s="3" t="n">
        <v>5</v>
      </c>
      <c r="B39" s="3" t="n">
        <v>5.2</v>
      </c>
      <c r="C39" s="3" t="s">
        <v>315</v>
      </c>
      <c r="D39" s="3" t="s">
        <v>245</v>
      </c>
      <c r="E39" s="3" t="n">
        <v>0.082842403030205</v>
      </c>
      <c r="F39" s="3" t="n">
        <v>0.0940427304666513</v>
      </c>
      <c r="G39" s="3" t="n">
        <v>0.082653290516503</v>
      </c>
      <c r="H39" s="3" t="n">
        <v>0.0375027103112305</v>
      </c>
      <c r="I39" s="168" t="n">
        <v>0.031752263662165</v>
      </c>
      <c r="J39" s="3" t="n">
        <v>0.0361761896774582</v>
      </c>
      <c r="K39" s="3" t="n">
        <v>0.0840529917045989</v>
      </c>
      <c r="L39" s="3" t="n">
        <v>3.62912486519383E-015</v>
      </c>
      <c r="M39" s="3" t="n">
        <v>0.15796778034859</v>
      </c>
      <c r="N39" s="3" t="n">
        <v>0</v>
      </c>
      <c r="O39" s="168" t="n">
        <v>0.104677214939709</v>
      </c>
      <c r="P39" s="3" t="n">
        <v>0</v>
      </c>
      <c r="Q39" s="3" t="n">
        <v>0.180416663147571</v>
      </c>
      <c r="R39" s="3" t="n">
        <v>1.45164994607753E-014</v>
      </c>
      <c r="S39" s="3" t="n">
        <v>0.088436838834516</v>
      </c>
      <c r="T39" s="168" t="n">
        <v>0</v>
      </c>
      <c r="U39" s="3" t="n">
        <v>0.13968023353566</v>
      </c>
      <c r="V39" s="168" t="n">
        <v>0</v>
      </c>
      <c r="W39" s="168" t="n">
        <v>0.000209280167944611</v>
      </c>
      <c r="X39" s="168" t="n">
        <v>0.04981960692186</v>
      </c>
      <c r="Y39" s="168" t="n">
        <v>0.000196064552036349</v>
      </c>
      <c r="Z39" s="3" t="n">
        <v>0.0257358925273371</v>
      </c>
      <c r="AA39" s="3" t="n">
        <v>0.000271096775916501</v>
      </c>
      <c r="AB39" s="168" t="n">
        <v>0.0141662843802677</v>
      </c>
      <c r="AC39" s="3" t="n">
        <v>0.0481897517444128</v>
      </c>
      <c r="AD39" s="168" t="n">
        <v>0.0683214058802129</v>
      </c>
      <c r="AE39" s="168" t="n">
        <v>0.0148367762561113</v>
      </c>
      <c r="AF39" s="168" t="n">
        <v>0.0400846807993102</v>
      </c>
      <c r="AG39" s="3" t="n">
        <v>2.31497503452387E-017</v>
      </c>
      <c r="AH39" s="168" t="n">
        <v>0.00120124708891346</v>
      </c>
      <c r="AI39" s="168" t="n">
        <v>0.0137211529835153</v>
      </c>
      <c r="AJ39" s="168" t="n">
        <v>0.0940427304666513</v>
      </c>
      <c r="AK39" s="168" t="n">
        <v>0.000248173852107053</v>
      </c>
      <c r="AL39" s="168" t="n">
        <v>0.000348667359435875</v>
      </c>
      <c r="AM39" s="168" t="n">
        <v>0.000201077514076009</v>
      </c>
      <c r="AN39" s="168" t="n">
        <v>0.000906861249114171</v>
      </c>
      <c r="AO39" s="168" t="n">
        <v>0.00108923814909076</v>
      </c>
      <c r="AP39" s="168" t="n">
        <v>0.00125606754731015</v>
      </c>
      <c r="AQ39" s="168" t="n">
        <v>0.0218788201558737</v>
      </c>
      <c r="AR39" s="168" t="n">
        <v>0.026112125159408</v>
      </c>
      <c r="AS39" s="168" t="n">
        <v>0.0304407461310408</v>
      </c>
      <c r="AT39" s="168" t="n">
        <v>5.44240116438862E-005</v>
      </c>
      <c r="AU39" s="168" t="n">
        <v>0.00223678753636211</v>
      </c>
      <c r="AV39" s="168" t="n">
        <v>6.63822985838E-005</v>
      </c>
      <c r="AW39" s="168" t="n">
        <v>0.000692016994011066</v>
      </c>
      <c r="AX39" s="168" t="n">
        <v>9.41469338048169E-005</v>
      </c>
      <c r="AY39" s="168" t="n">
        <v>0.000681929228127134</v>
      </c>
      <c r="AZ39" s="168" t="n">
        <v>0.000479195890606065</v>
      </c>
      <c r="BA39" s="168" t="n">
        <v>0.000508622450182681</v>
      </c>
      <c r="BB39" s="168" t="n">
        <v>0.000446476971823356</v>
      </c>
      <c r="BC39" s="168" t="n">
        <v>0.000493244591829736</v>
      </c>
      <c r="BD39" s="168" t="n">
        <v>0.00149738872528518</v>
      </c>
      <c r="BE39" s="168" t="n">
        <v>0.00172083075742967</v>
      </c>
      <c r="BF39" s="168" t="n">
        <v>0.0117316164911095</v>
      </c>
      <c r="BG39" s="3" t="n">
        <v>0.00966894174592113</v>
      </c>
      <c r="BH39" s="3" t="n">
        <v>0.0109141455070312</v>
      </c>
      <c r="BI39" s="168" t="n">
        <v>0.00930487499684288</v>
      </c>
      <c r="BJ39" s="168" t="n">
        <v>0.0365924803433919</v>
      </c>
      <c r="BK39" s="168" t="n">
        <v>0.032127450617967</v>
      </c>
      <c r="BL39" s="168" t="n">
        <v>7.06499023057613E-005</v>
      </c>
      <c r="BM39" s="168" t="n">
        <v>2.56950905478239E-007</v>
      </c>
      <c r="BN39" s="168" t="n">
        <v>4.10933317257051E-007</v>
      </c>
      <c r="BO39" s="168" t="n">
        <v>2.27838668925999E-007</v>
      </c>
      <c r="BP39" s="168" t="n">
        <v>3.20745105241267E-007</v>
      </c>
      <c r="BQ39" s="168" t="n">
        <v>3.60520914185596E-007</v>
      </c>
      <c r="BR39" s="168" t="n">
        <v>6.80096539982118E-007</v>
      </c>
      <c r="BS39" s="168" t="n">
        <v>0.000497614235482659</v>
      </c>
      <c r="BT39" s="168" t="n">
        <v>6.639736096396E-030</v>
      </c>
      <c r="BU39" s="168" t="n">
        <v>3.41275831266151E-030</v>
      </c>
      <c r="BV39" s="168" t="n">
        <v>9.71631810551136E-031</v>
      </c>
      <c r="BW39" s="3" t="n">
        <v>2.01074441862149E-030</v>
      </c>
      <c r="BX39" s="3" t="n">
        <v>2.23558959942505E-030</v>
      </c>
      <c r="BY39" s="3" t="n">
        <v>1.73466541357126E-029</v>
      </c>
      <c r="BZ39" s="169"/>
      <c r="CA39" s="169"/>
      <c r="CB39" s="169"/>
      <c r="CC39" s="169"/>
      <c r="CD39" s="169"/>
      <c r="CE39" s="169"/>
      <c r="CF39" s="169"/>
    </row>
    <row r="40" customFormat="false" ht="12.75" hidden="true" customHeight="false" outlineLevel="0" collapsed="false">
      <c r="A40" s="3" t="n">
        <v>5</v>
      </c>
      <c r="B40" s="3" t="n">
        <v>5.3</v>
      </c>
      <c r="C40" s="3" t="s">
        <v>316</v>
      </c>
      <c r="D40" s="3" t="s">
        <v>245</v>
      </c>
      <c r="E40" s="3" t="n">
        <v>0.394265332588708</v>
      </c>
      <c r="F40" s="3" t="n">
        <v>0.386487255338545</v>
      </c>
      <c r="G40" s="3" t="n">
        <v>0.464377995201275</v>
      </c>
      <c r="H40" s="168" t="n">
        <v>0.0212538549233508</v>
      </c>
      <c r="I40" s="3" t="n">
        <v>0.75988191462374</v>
      </c>
      <c r="J40" s="3" t="n">
        <v>0.768083083650371</v>
      </c>
      <c r="K40" s="3" t="n">
        <v>0.0862359387025688</v>
      </c>
      <c r="L40" s="3" t="n">
        <v>4.05748494870409E-015</v>
      </c>
      <c r="M40" s="3" t="n">
        <v>0.134150141929506</v>
      </c>
      <c r="N40" s="3" t="n">
        <v>0</v>
      </c>
      <c r="O40" s="3" t="n">
        <v>0.0776911379311841</v>
      </c>
      <c r="P40" s="3" t="n">
        <v>0</v>
      </c>
      <c r="Q40" s="3" t="n">
        <v>0.129797757776892</v>
      </c>
      <c r="R40" s="3" t="n">
        <v>1.45164994607753E-014</v>
      </c>
      <c r="S40" s="168" t="n">
        <v>0.0616368208640934</v>
      </c>
      <c r="T40" s="168" t="n">
        <v>0</v>
      </c>
      <c r="U40" s="3" t="n">
        <v>0.130204246238004</v>
      </c>
      <c r="V40" s="168" t="n">
        <v>0</v>
      </c>
      <c r="W40" s="3" t="n">
        <v>0.000831587757227736</v>
      </c>
      <c r="X40" s="168" t="n">
        <v>0.0105324956588408</v>
      </c>
      <c r="Y40" s="168" t="n">
        <v>0.00077440440241406</v>
      </c>
      <c r="Z40" s="3" t="n">
        <v>0.0138037464959469</v>
      </c>
      <c r="AA40" s="3" t="n">
        <v>0.000181517015324112</v>
      </c>
      <c r="AB40" s="168" t="n">
        <v>0.0106039457720604</v>
      </c>
      <c r="AC40" s="168" t="n">
        <v>0.237817335456182</v>
      </c>
      <c r="AD40" s="168" t="n">
        <v>0.174100772166125</v>
      </c>
      <c r="AE40" s="168" t="n">
        <v>0.00899264182137448</v>
      </c>
      <c r="AF40" s="3" t="n">
        <v>0.0354823667984981</v>
      </c>
      <c r="AG40" s="3" t="n">
        <v>7.67790358855574E-017</v>
      </c>
      <c r="AH40" s="168" t="n">
        <v>0.00322691688138185</v>
      </c>
      <c r="AI40" s="168" t="n">
        <v>0.0106134167170342</v>
      </c>
      <c r="AJ40" s="168" t="n">
        <v>0.386487255338545</v>
      </c>
      <c r="AK40" s="168" t="n">
        <v>0.00166717473198098</v>
      </c>
      <c r="AL40" s="168" t="n">
        <v>0.000358298232187178</v>
      </c>
      <c r="AM40" s="168" t="n">
        <v>0.000427878860006145</v>
      </c>
      <c r="AN40" s="3" t="n">
        <v>0.00551237687853567</v>
      </c>
      <c r="AO40" s="3" t="n">
        <v>0.0059750822978263</v>
      </c>
      <c r="AP40" s="3" t="n">
        <v>0.0050315536279001</v>
      </c>
      <c r="AQ40" s="168" t="n">
        <v>0.131257121859255</v>
      </c>
      <c r="AR40" s="168" t="n">
        <v>0.14486245454801</v>
      </c>
      <c r="AS40" s="168" t="n">
        <v>0.121809910007712</v>
      </c>
      <c r="AT40" s="168" t="n">
        <v>0.000170185616484321</v>
      </c>
      <c r="AU40" s="168" t="n">
        <v>0.000451125921557558</v>
      </c>
      <c r="AV40" s="168" t="n">
        <v>7.79980527446506E-005</v>
      </c>
      <c r="AW40" s="168" t="n">
        <v>0.00114617058822839</v>
      </c>
      <c r="AX40" s="168" t="n">
        <v>0.00543993405903651</v>
      </c>
      <c r="AY40" s="168" t="n">
        <v>0.00227785277914877</v>
      </c>
      <c r="AZ40" s="168" t="n">
        <v>0.00097954849854345</v>
      </c>
      <c r="BA40" s="168" t="n">
        <v>0.000693269572572669</v>
      </c>
      <c r="BB40" s="168" t="n">
        <v>0.000399017966483828</v>
      </c>
      <c r="BC40" s="168" t="n">
        <v>0.000365204316319715</v>
      </c>
      <c r="BD40" s="168" t="n">
        <v>0.0083177030022009</v>
      </c>
      <c r="BE40" s="168" t="n">
        <v>0.0105139823016561</v>
      </c>
      <c r="BF40" s="168" t="n">
        <v>0.0235418117961634</v>
      </c>
      <c r="BG40" s="3" t="n">
        <v>0.0132203503390958</v>
      </c>
      <c r="BH40" s="3" t="n">
        <v>0.00967052556744123</v>
      </c>
      <c r="BI40" s="168" t="n">
        <v>0.00823788311489126</v>
      </c>
      <c r="BJ40" s="168" t="n">
        <v>0.203089886436144</v>
      </c>
      <c r="BK40" s="168" t="n">
        <v>0.190536428736824</v>
      </c>
      <c r="BL40" s="168" t="n">
        <v>0.000370616670495744</v>
      </c>
      <c r="BM40" s="3" t="n">
        <v>0.000106057177633179</v>
      </c>
      <c r="BN40" s="168" t="n">
        <v>0.000129613166936482</v>
      </c>
      <c r="BO40" s="168" t="n">
        <v>0.000275407154584961</v>
      </c>
      <c r="BP40" s="168" t="n">
        <v>2.45122126332666E-005</v>
      </c>
      <c r="BQ40" s="168" t="n">
        <v>2.11027350890397E-005</v>
      </c>
      <c r="BR40" s="168" t="n">
        <v>1.48427932245838E-005</v>
      </c>
      <c r="BS40" s="168" t="n">
        <v>0.00260044993927988</v>
      </c>
      <c r="BT40" s="168" t="n">
        <v>0.000742516352085065</v>
      </c>
      <c r="BU40" s="168" t="n">
        <v>0.000914747025835926</v>
      </c>
      <c r="BV40" s="168" t="n">
        <v>0.00185730597164237</v>
      </c>
      <c r="BW40" s="3" t="n">
        <v>1.30528243131274E-027</v>
      </c>
      <c r="BX40" s="3" t="n">
        <v>9.44012259158546E-028</v>
      </c>
      <c r="BY40" s="3" t="n">
        <v>7.83167673980934E-028</v>
      </c>
      <c r="BZ40" s="169"/>
      <c r="CA40" s="169"/>
      <c r="CB40" s="169"/>
      <c r="CC40" s="169"/>
      <c r="CD40" s="169"/>
      <c r="CE40" s="169"/>
      <c r="CF40" s="169"/>
    </row>
    <row r="41" customFormat="false" ht="12.75" hidden="true" customHeight="false" outlineLevel="0" collapsed="false">
      <c r="A41" s="3" t="n">
        <v>5</v>
      </c>
      <c r="B41" s="3" t="n">
        <v>5.3</v>
      </c>
      <c r="C41" s="3" t="s">
        <v>317</v>
      </c>
      <c r="D41" s="3" t="s">
        <v>245</v>
      </c>
      <c r="E41" s="3" t="n">
        <v>0.131889333930737</v>
      </c>
      <c r="F41" s="3" t="n">
        <v>0.133590930395938</v>
      </c>
      <c r="G41" s="3" t="n">
        <v>0.165957854716319</v>
      </c>
      <c r="H41" s="3" t="n">
        <v>0.0246526304689195</v>
      </c>
      <c r="I41" s="3" t="n">
        <v>0.25204283134097</v>
      </c>
      <c r="J41" s="3" t="n">
        <v>0.248401203809952</v>
      </c>
      <c r="K41" s="3" t="n">
        <v>0.0983765544672124</v>
      </c>
      <c r="L41" s="3" t="n">
        <v>3.62912486519383E-015</v>
      </c>
      <c r="M41" s="3" t="n">
        <v>0.157008370855948</v>
      </c>
      <c r="N41" s="3" t="n">
        <v>0</v>
      </c>
      <c r="O41" s="3" t="n">
        <v>0.0819884609590651</v>
      </c>
      <c r="P41" s="3" t="n">
        <v>0</v>
      </c>
      <c r="Q41" s="3" t="n">
        <v>0.131575335798842</v>
      </c>
      <c r="R41" s="3" t="n">
        <v>1.45164994607753E-014</v>
      </c>
      <c r="S41" s="3" t="n">
        <v>0.0735415178756139</v>
      </c>
      <c r="T41" s="168" t="n">
        <v>0</v>
      </c>
      <c r="U41" s="3" t="n">
        <v>0.153307104376059</v>
      </c>
      <c r="V41" s="168" t="n">
        <v>0</v>
      </c>
      <c r="W41" s="3" t="n">
        <v>0.000530357482324895</v>
      </c>
      <c r="X41" s="168" t="n">
        <v>0.0104599630200149</v>
      </c>
      <c r="Y41" s="3" t="n">
        <v>0.000379938853966753</v>
      </c>
      <c r="Z41" s="3" t="n">
        <v>0.0136557726616383</v>
      </c>
      <c r="AA41" s="3" t="n">
        <v>0.000217274974433815</v>
      </c>
      <c r="AB41" s="3" t="n">
        <v>0.011574640274335</v>
      </c>
      <c r="AC41" s="3" t="n">
        <v>0.12058205240548</v>
      </c>
      <c r="AD41" s="168" t="n">
        <v>0.0480033204694023</v>
      </c>
      <c r="AE41" s="168" t="n">
        <v>0.00814541238669189</v>
      </c>
      <c r="AF41" s="3" t="n">
        <v>0.0401919658764606</v>
      </c>
      <c r="AG41" s="3" t="n">
        <v>9.54488658800983E-017</v>
      </c>
      <c r="AH41" s="168" t="n">
        <v>0.00195086484448546</v>
      </c>
      <c r="AI41" s="168" t="n">
        <v>0.00715691880087956</v>
      </c>
      <c r="AJ41" s="168" t="n">
        <v>0.133590930395938</v>
      </c>
      <c r="AK41" s="3" t="n">
        <v>0.00220508534127854</v>
      </c>
      <c r="AL41" s="3" t="n">
        <v>0.00022976659549597</v>
      </c>
      <c r="AM41" s="3" t="n">
        <v>0.000241496541818814</v>
      </c>
      <c r="AN41" s="168" t="n">
        <v>0.00252100708356047</v>
      </c>
      <c r="AO41" s="168" t="n">
        <v>0.00181445884222958</v>
      </c>
      <c r="AP41" s="168" t="n">
        <v>0.00290336215471807</v>
      </c>
      <c r="AQ41" s="168" t="n">
        <v>0.0582567669450624</v>
      </c>
      <c r="AR41" s="3" t="n">
        <v>0.0438437685813275</v>
      </c>
      <c r="AS41" s="168" t="n">
        <v>0.0702900464942713</v>
      </c>
      <c r="AT41" s="3" t="n">
        <v>4.3154000436163E-005</v>
      </c>
      <c r="AU41" s="168" t="n">
        <v>0.000723172761796598</v>
      </c>
      <c r="AV41" s="3" t="n">
        <v>5.66598233297809E-005</v>
      </c>
      <c r="AW41" s="168" t="n">
        <v>0.00107966533945378</v>
      </c>
      <c r="AX41" s="168" t="n">
        <v>0.00420805082785185</v>
      </c>
      <c r="AY41" s="168" t="n">
        <v>0.000906681946016452</v>
      </c>
      <c r="AZ41" s="168" t="n">
        <v>0.000449559980149706</v>
      </c>
      <c r="BA41" s="168" t="n">
        <v>0.000356465300782697</v>
      </c>
      <c r="BB41" s="168" t="n">
        <v>0.000851618624208258</v>
      </c>
      <c r="BC41" s="3" t="n">
        <v>0.000383706290760115</v>
      </c>
      <c r="BD41" s="3" t="n">
        <v>0.00358508252678459</v>
      </c>
      <c r="BE41" s="3" t="n">
        <v>0.00437596524681238</v>
      </c>
      <c r="BF41" s="3" t="n">
        <v>0.010943971153245</v>
      </c>
      <c r="BG41" s="3" t="n">
        <v>0.00744212160796215</v>
      </c>
      <c r="BH41" s="3" t="n">
        <v>0.0207215655862527</v>
      </c>
      <c r="BI41" s="168" t="n">
        <v>0.00822251485006405</v>
      </c>
      <c r="BJ41" s="168" t="n">
        <v>0.085702267277319</v>
      </c>
      <c r="BK41" s="168" t="n">
        <v>0.0799597852703378</v>
      </c>
      <c r="BL41" s="168" t="n">
        <v>0.000183645793286064</v>
      </c>
      <c r="BM41" s="168" t="n">
        <v>7.03584425272383E-005</v>
      </c>
      <c r="BN41" s="168" t="n">
        <v>0.000108992448880003</v>
      </c>
      <c r="BO41" s="168" t="n">
        <v>7.34825780401851E-005</v>
      </c>
      <c r="BP41" s="168" t="n">
        <v>9.57934106269123E-006</v>
      </c>
      <c r="BQ41" s="168" t="n">
        <v>1.80802167437229E-006</v>
      </c>
      <c r="BR41" s="168" t="n">
        <v>2.82532944185275E-006</v>
      </c>
      <c r="BS41" s="168" t="n">
        <v>0.0012886298839265</v>
      </c>
      <c r="BT41" s="168" t="n">
        <v>0.000492596088446254</v>
      </c>
      <c r="BU41" s="168" t="n">
        <v>0.000769224863672353</v>
      </c>
      <c r="BV41" s="168" t="n">
        <v>0.000495572345637466</v>
      </c>
      <c r="BW41" s="3" t="n">
        <v>3.73217300746451E-028</v>
      </c>
      <c r="BX41" s="3" t="n">
        <v>1.01002423957326E-028</v>
      </c>
      <c r="BY41" s="3" t="n">
        <v>1.62520659337881E-028</v>
      </c>
      <c r="BZ41" s="169"/>
      <c r="CA41" s="169"/>
      <c r="CB41" s="169"/>
      <c r="CC41" s="169"/>
      <c r="CD41" s="169"/>
      <c r="CE41" s="169"/>
      <c r="CF41" s="169"/>
    </row>
    <row r="42" customFormat="false" ht="12.75" hidden="true" customHeight="false" outlineLevel="0" collapsed="false">
      <c r="A42" s="3" t="n">
        <v>5</v>
      </c>
      <c r="B42" s="3" t="n">
        <v>5.3</v>
      </c>
      <c r="C42" s="3" t="s">
        <v>318</v>
      </c>
      <c r="D42" s="3" t="s">
        <v>245</v>
      </c>
      <c r="E42" s="3" t="n">
        <v>0.208666333273702</v>
      </c>
      <c r="F42" s="3" t="n">
        <v>0.192248719601479</v>
      </c>
      <c r="G42" s="3" t="n">
        <v>0.225190832222965</v>
      </c>
      <c r="H42" s="3" t="n">
        <v>0.0306411013895937</v>
      </c>
      <c r="I42" s="3" t="n">
        <v>0.0765155673031031</v>
      </c>
      <c r="J42" s="3" t="n">
        <v>0.0703664119632673</v>
      </c>
      <c r="K42" s="3" t="n">
        <v>0.0823957776989126</v>
      </c>
      <c r="L42" s="3" t="n">
        <v>3.84926820292691E-015</v>
      </c>
      <c r="M42" s="3" t="n">
        <v>0.136746647212693</v>
      </c>
      <c r="N42" s="3" t="n">
        <v>0</v>
      </c>
      <c r="O42" s="3" t="n">
        <v>0.0798481445702133</v>
      </c>
      <c r="P42" s="3" t="n">
        <v>0</v>
      </c>
      <c r="Q42" s="3" t="n">
        <v>0.140986457790939</v>
      </c>
      <c r="R42" s="3" t="n">
        <v>0</v>
      </c>
      <c r="S42" s="3" t="n">
        <v>0.0859747571607007</v>
      </c>
      <c r="T42" s="3" t="n">
        <v>0</v>
      </c>
      <c r="U42" s="3" t="n">
        <v>0.151930447044456</v>
      </c>
      <c r="V42" s="3" t="n">
        <v>0</v>
      </c>
      <c r="W42" s="3" t="n">
        <v>0.000578880813682124</v>
      </c>
      <c r="X42" s="168" t="n">
        <v>0.00893901851240515</v>
      </c>
      <c r="Y42" s="3" t="n">
        <v>0.000510647961708539</v>
      </c>
      <c r="Z42" s="3" t="n">
        <v>0.0102868070347865</v>
      </c>
      <c r="AA42" s="3" t="n">
        <v>0.00026054532436656</v>
      </c>
      <c r="AB42" s="3" t="n">
        <v>0.00944670081636755</v>
      </c>
      <c r="AC42" s="3" t="n">
        <v>0.0839695900052625</v>
      </c>
      <c r="AD42" s="168" t="n">
        <v>0.135471827519415</v>
      </c>
      <c r="AE42" s="3" t="n">
        <v>0.00605690037854735</v>
      </c>
      <c r="AF42" s="3" t="n">
        <v>0.035206614620603</v>
      </c>
      <c r="AG42" s="3" t="n">
        <v>1.13410152037307E-016</v>
      </c>
      <c r="AH42" s="3" t="n">
        <v>0.00219809802116557</v>
      </c>
      <c r="AI42" s="3" t="n">
        <v>0.00605258722898451</v>
      </c>
      <c r="AJ42" s="3" t="n">
        <v>0.192248719601479</v>
      </c>
      <c r="AK42" s="3" t="n">
        <v>0.00296158310583218</v>
      </c>
      <c r="AL42" s="3" t="n">
        <v>0.000503814083203528</v>
      </c>
      <c r="AM42" s="3" t="n">
        <v>0.000207602393105167</v>
      </c>
      <c r="AN42" s="3" t="n">
        <v>0.00173405994277733</v>
      </c>
      <c r="AO42" s="3" t="n">
        <v>0.00253302805714047</v>
      </c>
      <c r="AP42" s="3" t="n">
        <v>0.00206201016723552</v>
      </c>
      <c r="AQ42" s="3" t="n">
        <v>0.0384674263616801</v>
      </c>
      <c r="AR42" s="3" t="n">
        <v>0.0609665817405772</v>
      </c>
      <c r="AS42" s="168" t="n">
        <v>0.0498728998205889</v>
      </c>
      <c r="AT42" s="3" t="n">
        <v>4.23492509722982E-005</v>
      </c>
      <c r="AU42" s="3" t="n">
        <v>0.000424865844724867</v>
      </c>
      <c r="AV42" s="3" t="n">
        <v>6.103811116457E-005</v>
      </c>
      <c r="AW42" s="3" t="n">
        <v>0.00306178560912251</v>
      </c>
      <c r="AX42" s="3" t="n">
        <v>0.000535504770137788</v>
      </c>
      <c r="AY42" s="3" t="n">
        <v>0.00160047984100103</v>
      </c>
      <c r="AZ42" s="3" t="n">
        <v>0.00052007530412015</v>
      </c>
      <c r="BA42" s="3" t="n">
        <v>0.000369660524852216</v>
      </c>
      <c r="BB42" s="3" t="n">
        <v>0.000470328689837788</v>
      </c>
      <c r="BC42" s="3" t="n">
        <v>0.000627475761199086</v>
      </c>
      <c r="BD42" s="3" t="n">
        <v>0.00615121951356405</v>
      </c>
      <c r="BE42" s="3" t="n">
        <v>0.00789243816584935</v>
      </c>
      <c r="BF42" s="3" t="n">
        <v>0.0126167146767236</v>
      </c>
      <c r="BG42" s="3" t="n">
        <v>0.00699236739684725</v>
      </c>
      <c r="BH42" s="3" t="n">
        <v>0.0114245833118568</v>
      </c>
      <c r="BI42" s="3" t="n">
        <v>0.0170780405358871</v>
      </c>
      <c r="BJ42" s="168" t="n">
        <v>0.148721661575057</v>
      </c>
      <c r="BK42" s="168" t="n">
        <v>0.142580702759488</v>
      </c>
      <c r="BL42" s="168" t="n">
        <v>9.33387658870775E-005</v>
      </c>
      <c r="BM42" s="168" t="n">
        <v>5.68398812589536E-005</v>
      </c>
      <c r="BN42" s="168" t="n">
        <v>7.08763359655365E-005</v>
      </c>
      <c r="BO42" s="168" t="n">
        <v>6.59835415378352E-005</v>
      </c>
      <c r="BP42" s="3" t="n">
        <v>2.04124776433204E-005</v>
      </c>
      <c r="BQ42" s="3" t="n">
        <v>1.94288118097988E-006</v>
      </c>
      <c r="BR42" s="3" t="n">
        <v>2.47353983452278E-006</v>
      </c>
      <c r="BS42" s="3" t="n">
        <v>0.000654975839680099</v>
      </c>
      <c r="BT42" s="3" t="n">
        <v>0.000397949141353392</v>
      </c>
      <c r="BU42" s="3" t="n">
        <v>0.00050022069981795</v>
      </c>
      <c r="BV42" s="3" t="n">
        <v>0.000445000719423326</v>
      </c>
      <c r="BW42" s="3" t="n">
        <v>7.64635922909594E-028</v>
      </c>
      <c r="BX42" s="3" t="n">
        <v>1.09492073618542E-028</v>
      </c>
      <c r="BY42" s="3" t="n">
        <v>1.35995098212324E-028</v>
      </c>
      <c r="BZ42" s="169"/>
      <c r="CA42" s="169"/>
      <c r="CB42" s="169"/>
      <c r="CC42" s="169"/>
      <c r="CD42" s="169"/>
      <c r="CE42" s="169"/>
      <c r="CF42" s="169"/>
    </row>
    <row r="43" customFormat="false" ht="12.75" hidden="true" customHeight="false" outlineLevel="0" collapsed="false">
      <c r="A43" s="3" t="n">
        <v>5</v>
      </c>
      <c r="B43" s="3" t="n">
        <v>5.4</v>
      </c>
      <c r="C43" s="3" t="s">
        <v>319</v>
      </c>
      <c r="D43" s="3" t="s">
        <v>245</v>
      </c>
      <c r="E43" s="3" t="n">
        <v>1.37033186976886</v>
      </c>
      <c r="F43" s="3" t="n">
        <v>1.35043935985396</v>
      </c>
      <c r="G43" s="3" t="n">
        <v>0.249598154438188</v>
      </c>
      <c r="H43" s="3" t="n">
        <v>0.0258258866322689</v>
      </c>
      <c r="I43" s="168" t="n">
        <v>1.57415644002529</v>
      </c>
      <c r="J43" s="3" t="n">
        <v>1.59340412874608</v>
      </c>
      <c r="K43" s="3" t="n">
        <v>0.069762435383086</v>
      </c>
      <c r="L43" s="3" t="n">
        <v>3.84926820292691E-015</v>
      </c>
      <c r="M43" s="3" t="n">
        <v>0.141798186654139</v>
      </c>
      <c r="N43" s="3" t="n">
        <v>0</v>
      </c>
      <c r="O43" s="3" t="n">
        <v>0.0930924927467166</v>
      </c>
      <c r="P43" s="3" t="n">
        <v>0</v>
      </c>
      <c r="Q43" s="3" t="n">
        <v>0.152000345222717</v>
      </c>
      <c r="R43" s="3" t="n">
        <v>1.45164994607753E-014</v>
      </c>
      <c r="S43" s="3" t="n">
        <v>0.0728780730229275</v>
      </c>
      <c r="T43" s="168" t="n">
        <v>0</v>
      </c>
      <c r="U43" s="3" t="n">
        <v>0.115447502380076</v>
      </c>
      <c r="V43" s="168" t="n">
        <v>0</v>
      </c>
      <c r="W43" s="3" t="n">
        <v>0.00233575770220406</v>
      </c>
      <c r="X43" s="168" t="n">
        <v>0.0196306418358123</v>
      </c>
      <c r="Y43" s="3" t="n">
        <v>0.00243510854430277</v>
      </c>
      <c r="Z43" s="3" t="n">
        <v>0.0106684134389629</v>
      </c>
      <c r="AA43" s="3" t="n">
        <v>0.000182938283621809</v>
      </c>
      <c r="AB43" s="3" t="n">
        <v>0.0133181541830502</v>
      </c>
      <c r="AC43" s="3" t="n">
        <v>0.639474240130574</v>
      </c>
      <c r="AD43" s="168" t="n">
        <v>0.74456635358822</v>
      </c>
      <c r="AE43" s="3" t="n">
        <v>0.00756782223523095</v>
      </c>
      <c r="AF43" s="3" t="n">
        <v>0.040322628846607</v>
      </c>
      <c r="AG43" s="3" t="n">
        <v>1.3695577000127E-016</v>
      </c>
      <c r="AH43" s="3" t="n">
        <v>0.00912532735990544</v>
      </c>
      <c r="AI43" s="168" t="n">
        <v>0.0214923910447037</v>
      </c>
      <c r="AJ43" s="168" t="n">
        <v>1.35043935985396</v>
      </c>
      <c r="AK43" s="3" t="n">
        <v>0.00188706200600134</v>
      </c>
      <c r="AL43" s="3" t="n">
        <v>0.000264698995031182</v>
      </c>
      <c r="AM43" s="3" t="n">
        <v>0.000226523569493694</v>
      </c>
      <c r="AN43" s="3" t="n">
        <v>0.00387216600475828</v>
      </c>
      <c r="AO43" s="3" t="n">
        <v>0.00426518341162276</v>
      </c>
      <c r="AP43" s="3" t="n">
        <v>0.00398589964946179</v>
      </c>
      <c r="AQ43" s="168" t="n">
        <v>0.0916683572284164</v>
      </c>
      <c r="AR43" s="168" t="n">
        <v>0.103009098913709</v>
      </c>
      <c r="AS43" s="168" t="n">
        <v>0.096291286430922</v>
      </c>
      <c r="AT43" s="3" t="n">
        <v>0.000146308997761577</v>
      </c>
      <c r="AU43" s="168" t="n">
        <v>0.00154030787471665</v>
      </c>
      <c r="AV43" s="3" t="n">
        <v>0.000138534737964988</v>
      </c>
      <c r="AW43" s="168" t="n">
        <v>0.00245200726680154</v>
      </c>
      <c r="AX43" s="168" t="n">
        <v>0.000193476213382874</v>
      </c>
      <c r="AY43" s="168" t="n">
        <v>0.00212454459118327</v>
      </c>
      <c r="AZ43" s="168" t="n">
        <v>0.000646061628500468</v>
      </c>
      <c r="BA43" s="3" t="n">
        <v>0.000983229558760494</v>
      </c>
      <c r="BB43" s="3" t="n">
        <v>0.000522731079010562</v>
      </c>
      <c r="BC43" s="3" t="n">
        <v>0.000506828957415991</v>
      </c>
      <c r="BD43" s="3" t="n">
        <v>0.00368959763987044</v>
      </c>
      <c r="BE43" s="3" t="n">
        <v>0.00655387808526348</v>
      </c>
      <c r="BF43" s="3" t="n">
        <v>0.0156665225083871</v>
      </c>
      <c r="BG43" s="3" t="n">
        <v>0.0218929659998987</v>
      </c>
      <c r="BH43" s="3" t="n">
        <v>0.0128024941363876</v>
      </c>
      <c r="BI43" s="168" t="n">
        <v>0.00697225626754995</v>
      </c>
      <c r="BJ43" s="168" t="n">
        <v>0.0885289750176377</v>
      </c>
      <c r="BK43" s="168" t="n">
        <v>0.12032841645239</v>
      </c>
      <c r="BL43" s="168" t="n">
        <v>0.00034472371535345</v>
      </c>
      <c r="BM43" s="168" t="n">
        <v>0.000216818125879582</v>
      </c>
      <c r="BN43" s="168" t="n">
        <v>0.000210582857113915</v>
      </c>
      <c r="BO43" s="168" t="n">
        <v>0.000381925848994685</v>
      </c>
      <c r="BP43" s="168" t="n">
        <v>0.000463274931675043</v>
      </c>
      <c r="BQ43" s="168" t="n">
        <v>0.000212315990237476</v>
      </c>
      <c r="BR43" s="168" t="n">
        <v>0.000432276328356621</v>
      </c>
      <c r="BS43" s="168" t="n">
        <v>0.00241039957771126</v>
      </c>
      <c r="BT43" s="168" t="n">
        <v>0.00151266732385218</v>
      </c>
      <c r="BU43" s="168" t="n">
        <v>0.00148112953229295</v>
      </c>
      <c r="BV43" s="168" t="n">
        <v>0.00256632255161489</v>
      </c>
      <c r="BW43" s="3" t="n">
        <v>0.00318185487048487</v>
      </c>
      <c r="BX43" s="3" t="n">
        <v>0.00138575118670833</v>
      </c>
      <c r="BY43" s="3" t="n">
        <v>0.00289616205611508</v>
      </c>
      <c r="BZ43" s="169"/>
      <c r="CA43" s="169"/>
      <c r="CB43" s="169"/>
      <c r="CC43" s="169"/>
      <c r="CD43" s="169"/>
      <c r="CE43" s="169"/>
      <c r="CF43" s="169"/>
    </row>
    <row r="44" customFormat="false" ht="12.75" hidden="true" customHeight="false" outlineLevel="0" collapsed="false">
      <c r="A44" s="3" t="n">
        <v>5</v>
      </c>
      <c r="B44" s="3" t="n">
        <v>5.4</v>
      </c>
      <c r="C44" s="3" t="s">
        <v>320</v>
      </c>
      <c r="D44" s="3" t="s">
        <v>245</v>
      </c>
      <c r="E44" s="3" t="n">
        <v>0.445021847734124</v>
      </c>
      <c r="F44" s="3" t="n">
        <v>0.46112287463574</v>
      </c>
      <c r="G44" s="3" t="n">
        <v>0.203890846715668</v>
      </c>
      <c r="H44" s="3" t="n">
        <v>0.0321453432125864</v>
      </c>
      <c r="I44" s="3" t="n">
        <v>0.639912509744281</v>
      </c>
      <c r="J44" s="3" t="n">
        <v>0.621042894983512</v>
      </c>
      <c r="K44" s="3" t="n">
        <v>0.132347040217557</v>
      </c>
      <c r="L44" s="3" t="n">
        <v>4.05748494870409E-015</v>
      </c>
      <c r="M44" s="3" t="n">
        <v>0.236224091530837</v>
      </c>
      <c r="N44" s="3" t="n">
        <v>0</v>
      </c>
      <c r="O44" s="3" t="n">
        <v>0.118940569546556</v>
      </c>
      <c r="P44" s="3" t="n">
        <v>0</v>
      </c>
      <c r="Q44" s="3" t="n">
        <v>0.172284427341382</v>
      </c>
      <c r="R44" s="3" t="n">
        <v>1.18526721767622E-014</v>
      </c>
      <c r="S44" s="3" t="n">
        <v>0.112112570676182</v>
      </c>
      <c r="T44" s="3" t="n">
        <v>0</v>
      </c>
      <c r="U44" s="3" t="n">
        <v>0.217328599795633</v>
      </c>
      <c r="V44" s="3" t="n">
        <v>0</v>
      </c>
      <c r="W44" s="3" t="n">
        <v>0.00174006113467072</v>
      </c>
      <c r="X44" s="3" t="n">
        <v>0.0215413460591632</v>
      </c>
      <c r="Y44" s="3" t="n">
        <v>0.00157646681124485</v>
      </c>
      <c r="Z44" s="3" t="n">
        <v>0.0185275544250963</v>
      </c>
      <c r="AA44" s="3" t="n">
        <v>0.000304872286360323</v>
      </c>
      <c r="AB44" s="3" t="n">
        <v>0.0133227115729517</v>
      </c>
      <c r="AC44" s="3" t="n">
        <v>0.255037697536046</v>
      </c>
      <c r="AD44" s="3" t="n">
        <v>0.221620244771886</v>
      </c>
      <c r="AE44" s="3" t="n">
        <v>0.00533754460660841</v>
      </c>
      <c r="AF44" s="3" t="n">
        <v>0.0591559579061748</v>
      </c>
      <c r="AG44" s="3" t="n">
        <v>1.13410152037307E-016</v>
      </c>
      <c r="AH44" s="3" t="n">
        <v>0.00673461926492299</v>
      </c>
      <c r="AI44" s="3" t="n">
        <v>0.0160696918339986</v>
      </c>
      <c r="AJ44" s="3" t="n">
        <v>0.46112287463574</v>
      </c>
      <c r="AK44" s="3" t="n">
        <v>0.00311269912115604</v>
      </c>
      <c r="AL44" s="3" t="n">
        <v>0.000199496758173666</v>
      </c>
      <c r="AM44" s="3" t="n">
        <v>0.000183994250067679</v>
      </c>
      <c r="AN44" s="3" t="n">
        <v>0.00245152371841606</v>
      </c>
      <c r="AO44" s="3" t="n">
        <v>0.00217928491077206</v>
      </c>
      <c r="AP44" s="3" t="n">
        <v>0.00206355295361938</v>
      </c>
      <c r="AQ44" s="3" t="n">
        <v>0.0604636698889078</v>
      </c>
      <c r="AR44" s="3" t="n">
        <v>0.0525665049343629</v>
      </c>
      <c r="AS44" s="3" t="n">
        <v>0.0497830980466585</v>
      </c>
      <c r="AT44" s="3" t="n">
        <v>0.000203173780118597</v>
      </c>
      <c r="AU44" s="3" t="n">
        <v>0.00104289548047165</v>
      </c>
      <c r="AV44" s="3" t="n">
        <v>0.000173234713654062</v>
      </c>
      <c r="AW44" s="3" t="n">
        <v>0.000758904222584559</v>
      </c>
      <c r="AX44" s="3" t="n">
        <v>0.00173340206126976</v>
      </c>
      <c r="AY44" s="3" t="n">
        <v>0.00159477159909031</v>
      </c>
      <c r="AZ44" s="3" t="n">
        <v>0.000676873604633154</v>
      </c>
      <c r="BA44" s="3" t="n">
        <v>0.000561381314384505</v>
      </c>
      <c r="BB44" s="3" t="n">
        <v>0.000629427600744515</v>
      </c>
      <c r="BC44" s="3" t="n">
        <v>0.000808901549228462</v>
      </c>
      <c r="BD44" s="3" t="n">
        <v>0.00352500355213857</v>
      </c>
      <c r="BE44" s="3" t="n">
        <v>0.00428211258007486</v>
      </c>
      <c r="BF44" s="3" t="n">
        <v>0.0158827955629722</v>
      </c>
      <c r="BG44" s="3" t="n">
        <v>0.0132253653779999</v>
      </c>
      <c r="BH44" s="3" t="n">
        <v>0.0156514873266304</v>
      </c>
      <c r="BI44" s="3" t="n">
        <v>0.0171438376979848</v>
      </c>
      <c r="BJ44" s="168" t="n">
        <v>0.0847461917650865</v>
      </c>
      <c r="BK44" s="168" t="n">
        <v>0.073480017758627</v>
      </c>
      <c r="BL44" s="168" t="n">
        <v>0.000223001458206889</v>
      </c>
      <c r="BM44" s="3" t="n">
        <v>7.49215352833101E-005</v>
      </c>
      <c r="BN44" s="168" t="n">
        <v>7.39494416988014E-005</v>
      </c>
      <c r="BO44" s="168" t="n">
        <v>8.62313621958827E-005</v>
      </c>
      <c r="BP44" s="3" t="n">
        <v>0.000104966665517727</v>
      </c>
      <c r="BQ44" s="168" t="n">
        <v>0.000102652558436841</v>
      </c>
      <c r="BR44" s="168" t="n">
        <v>0.000459711644656079</v>
      </c>
      <c r="BS44" s="168" t="n">
        <v>0.00155922631585358</v>
      </c>
      <c r="BT44" s="168" t="n">
        <v>0.000522707830156839</v>
      </c>
      <c r="BU44" s="168" t="n">
        <v>0.000520122384183191</v>
      </c>
      <c r="BV44" s="168" t="n">
        <v>0.000579451592969401</v>
      </c>
      <c r="BW44" s="3" t="n">
        <v>0.000720960260435697</v>
      </c>
      <c r="BX44" s="3" t="n">
        <v>0.00067000828075662</v>
      </c>
      <c r="BY44" s="3" t="n">
        <v>0.00308003563343482</v>
      </c>
      <c r="BZ44" s="169"/>
      <c r="CA44" s="169"/>
      <c r="CB44" s="169"/>
      <c r="CC44" s="169"/>
      <c r="CD44" s="169"/>
      <c r="CE44" s="169"/>
      <c r="CF44" s="169"/>
    </row>
    <row r="45" customFormat="false" ht="12.75" hidden="true" customHeight="false" outlineLevel="0" collapsed="false">
      <c r="A45" s="3" t="n">
        <v>5</v>
      </c>
      <c r="B45" s="3" t="n">
        <v>5.4</v>
      </c>
      <c r="C45" s="3" t="s">
        <v>321</v>
      </c>
      <c r="D45" s="3" t="s">
        <v>245</v>
      </c>
      <c r="E45" s="3" t="n">
        <v>0.273293883238404</v>
      </c>
      <c r="F45" s="3" t="n">
        <v>0.2742473579702</v>
      </c>
      <c r="G45" s="3" t="n">
        <v>0.0352254276712499</v>
      </c>
      <c r="H45" s="3" t="n">
        <v>0.0343633234106987</v>
      </c>
      <c r="I45" s="3" t="n">
        <v>0.296703428643119</v>
      </c>
      <c r="J45" s="3" t="n">
        <v>0.293859001559074</v>
      </c>
      <c r="K45" s="3" t="n">
        <v>0.12065439727537</v>
      </c>
      <c r="L45" s="3" t="n">
        <v>3.84926820292691E-015</v>
      </c>
      <c r="M45" s="3" t="n">
        <v>0.216310117769081</v>
      </c>
      <c r="N45" s="3" t="n">
        <v>0</v>
      </c>
      <c r="O45" s="3" t="n">
        <v>0.112754020847997</v>
      </c>
      <c r="P45" s="3" t="n">
        <v>5.92633608838112E-015</v>
      </c>
      <c r="Q45" s="3" t="n">
        <v>0.165735983305738</v>
      </c>
      <c r="R45" s="3" t="n">
        <v>1.18526721767622E-014</v>
      </c>
      <c r="S45" s="3" t="n">
        <v>0.0958830396171939</v>
      </c>
      <c r="T45" s="3" t="n">
        <v>0</v>
      </c>
      <c r="U45" s="3" t="n">
        <v>0.187473125532969</v>
      </c>
      <c r="V45" s="3" t="n">
        <v>0</v>
      </c>
      <c r="W45" s="3" t="n">
        <v>0.00132254219688308</v>
      </c>
      <c r="X45" s="3" t="n">
        <v>0.0192699567550381</v>
      </c>
      <c r="Y45" s="3" t="n">
        <v>0.00111877660033146</v>
      </c>
      <c r="Z45" s="3" t="n">
        <v>0.0138378470109395</v>
      </c>
      <c r="AA45" s="3" t="n">
        <v>0.000287964651513018</v>
      </c>
      <c r="AB45" s="3" t="n">
        <v>0.0142824050089619</v>
      </c>
      <c r="AC45" s="3" t="n">
        <v>0.18084787563313</v>
      </c>
      <c r="AD45" s="3" t="n">
        <v>0.131821418568737</v>
      </c>
      <c r="AE45" s="3" t="n">
        <v>0.00715633036072869</v>
      </c>
      <c r="AF45" s="3" t="n">
        <v>0.0580145830742193</v>
      </c>
      <c r="AG45" s="3" t="n">
        <v>1.26796404647002E-016</v>
      </c>
      <c r="AH45" s="3" t="n">
        <v>0.00488769701781633</v>
      </c>
      <c r="AI45" s="3" t="n">
        <v>0.0216239426375631</v>
      </c>
      <c r="AJ45" s="3" t="n">
        <v>0.2742473579702</v>
      </c>
      <c r="AK45" s="3" t="n">
        <v>0.00185638615540349</v>
      </c>
      <c r="AL45" s="3" t="n">
        <v>8.64747596583486E-005</v>
      </c>
      <c r="AM45" s="3" t="n">
        <v>0.000127382995475562</v>
      </c>
      <c r="AN45" s="3" t="n">
        <v>0.000974880985824266</v>
      </c>
      <c r="AO45" s="3" t="n">
        <v>0.000765508474948098</v>
      </c>
      <c r="AP45" s="3" t="n">
        <v>0.00150113357338547</v>
      </c>
      <c r="AQ45" s="3" t="n">
        <v>0.0225283426505307</v>
      </c>
      <c r="AR45" s="3" t="n">
        <v>0.0184710419627154</v>
      </c>
      <c r="AS45" s="3" t="n">
        <v>0.0362197024466806</v>
      </c>
      <c r="AT45" s="3" t="n">
        <v>7.25335704385608E-005</v>
      </c>
      <c r="AU45" s="3" t="n">
        <v>0.000236681340074547</v>
      </c>
      <c r="AV45" s="3" t="n">
        <v>9.72533755605018E-005</v>
      </c>
      <c r="AW45" s="3" t="n">
        <v>0.000685485169503664</v>
      </c>
      <c r="AX45" s="3" t="n">
        <v>0.000137162486949635</v>
      </c>
      <c r="AY45" s="3" t="n">
        <v>0.00057459077908193</v>
      </c>
      <c r="AZ45" s="3" t="n">
        <v>0.000450328331620793</v>
      </c>
      <c r="BA45" s="3" t="n">
        <v>0.000483293805646666</v>
      </c>
      <c r="BB45" s="3" t="n">
        <v>0.000604099637236504</v>
      </c>
      <c r="BC45" s="3" t="n">
        <v>0.000490919883149903</v>
      </c>
      <c r="BD45" s="3" t="n">
        <v>0.00212777048993947</v>
      </c>
      <c r="BE45" s="3" t="n">
        <v>0.00239454367570735</v>
      </c>
      <c r="BF45" s="3" t="n">
        <v>0.0108001156958669</v>
      </c>
      <c r="BG45" s="3" t="n">
        <v>0.008715381714207</v>
      </c>
      <c r="BH45" s="3" t="n">
        <v>0.0146994952457294</v>
      </c>
      <c r="BI45" s="3" t="n">
        <v>0.0105309803778816</v>
      </c>
      <c r="BJ45" s="168" t="n">
        <v>0.0509711019103191</v>
      </c>
      <c r="BK45" s="168" t="n">
        <v>0.0449679675982743</v>
      </c>
      <c r="BL45" s="168" t="n">
        <v>0.000138903870418133</v>
      </c>
      <c r="BM45" s="168" t="n">
        <v>8.38739357693128E-005</v>
      </c>
      <c r="BN45" s="168" t="n">
        <v>8.74162439714164E-005</v>
      </c>
      <c r="BO45" s="168" t="n">
        <v>0.000134044157767807</v>
      </c>
      <c r="BP45" s="3" t="n">
        <v>9.34667932976153E-005</v>
      </c>
      <c r="BQ45" s="168" t="n">
        <v>9.39282886345307E-005</v>
      </c>
      <c r="BR45" s="168" t="n">
        <v>0.000381037994131479</v>
      </c>
      <c r="BS45" s="168" t="n">
        <v>0.000971171178371091</v>
      </c>
      <c r="BT45" s="168" t="n">
        <v>0.00058515490566636</v>
      </c>
      <c r="BU45" s="168" t="n">
        <v>0.000614827275984602</v>
      </c>
      <c r="BV45" s="168" t="n">
        <v>0.000900700400274226</v>
      </c>
      <c r="BW45" s="3" t="n">
        <v>0.000641970293871474</v>
      </c>
      <c r="BX45" s="3" t="n">
        <v>0.000613051374968711</v>
      </c>
      <c r="BY45" s="3" t="n">
        <v>0.00255279907389763</v>
      </c>
      <c r="BZ45" s="169"/>
      <c r="CA45" s="169"/>
      <c r="CB45" s="169"/>
      <c r="CC45" s="169"/>
      <c r="CD45" s="169"/>
      <c r="CE45" s="169"/>
      <c r="CF45" s="169"/>
    </row>
    <row r="46" customFormat="false" ht="12.75" hidden="true" customHeight="false" outlineLevel="0" collapsed="false">
      <c r="A46" s="3" t="n">
        <v>6</v>
      </c>
      <c r="B46" s="3" t="n">
        <v>6.1</v>
      </c>
      <c r="C46" s="3" t="s">
        <v>322</v>
      </c>
      <c r="D46" s="3" t="s">
        <v>245</v>
      </c>
      <c r="E46" s="3" t="n">
        <v>0.0490561852289531</v>
      </c>
      <c r="F46" s="3" t="n">
        <v>0.022104382107188</v>
      </c>
      <c r="G46" s="3" t="n">
        <v>0.0521713315647408</v>
      </c>
      <c r="H46" s="3" t="n">
        <v>0.0472901816042895</v>
      </c>
      <c r="I46" s="168" t="n">
        <v>0.0518246046192059</v>
      </c>
      <c r="J46" s="3" t="n">
        <v>0.0748128752692169</v>
      </c>
      <c r="K46" s="3" t="n">
        <v>0.105906491237462</v>
      </c>
      <c r="L46" s="3" t="n">
        <v>3.84926820292691E-015</v>
      </c>
      <c r="M46" s="3" t="n">
        <v>0.20258010391311</v>
      </c>
      <c r="N46" s="3" t="n">
        <v>0</v>
      </c>
      <c r="O46" s="168" t="n">
        <v>0.124602101731052</v>
      </c>
      <c r="P46" s="3" t="n">
        <v>0</v>
      </c>
      <c r="Q46" s="3" t="n">
        <v>0.196489096470727</v>
      </c>
      <c r="R46" s="3" t="n">
        <v>9.37036010946864E-015</v>
      </c>
      <c r="S46" s="3" t="n">
        <v>0.0893741850190808</v>
      </c>
      <c r="T46" s="168" t="n">
        <v>0</v>
      </c>
      <c r="U46" s="3" t="n">
        <v>0.156725824282737</v>
      </c>
      <c r="V46" s="168" t="n">
        <v>0</v>
      </c>
      <c r="W46" s="3" t="n">
        <v>0.000388939951997922</v>
      </c>
      <c r="X46" s="168" t="n">
        <v>0.0188449071206341</v>
      </c>
      <c r="Y46" s="3" t="n">
        <v>0.000571923493991742</v>
      </c>
      <c r="Z46" s="3" t="n">
        <v>0.0393031737552514</v>
      </c>
      <c r="AA46" s="3" t="n">
        <v>0.000436736359842751</v>
      </c>
      <c r="AB46" s="3" t="n">
        <v>0.139280610702417</v>
      </c>
      <c r="AC46" s="3" t="n">
        <v>0.0633481519659383</v>
      </c>
      <c r="AD46" s="3" t="n">
        <v>0.0231480385546494</v>
      </c>
      <c r="AE46" s="3" t="n">
        <v>0.0284403076145486</v>
      </c>
      <c r="AF46" s="3" t="n">
        <v>0.0675107885259184</v>
      </c>
      <c r="AG46" s="3" t="n">
        <v>0</v>
      </c>
      <c r="AH46" s="3" t="n">
        <v>0.00043832746745319</v>
      </c>
      <c r="AI46" s="168" t="n">
        <v>0.00903636174213771</v>
      </c>
      <c r="AJ46" s="168" t="n">
        <v>0.022104382107188</v>
      </c>
      <c r="AK46" s="3" t="n">
        <v>9.38248014822724E-005</v>
      </c>
      <c r="AL46" s="168" t="n">
        <v>8.21888052604825E-005</v>
      </c>
      <c r="AM46" s="3" t="n">
        <v>0.000139100991234138</v>
      </c>
      <c r="AN46" s="3" t="n">
        <v>0</v>
      </c>
      <c r="AO46" s="3" t="n">
        <v>0</v>
      </c>
      <c r="AP46" s="3" t="n">
        <v>0</v>
      </c>
      <c r="AQ46" s="168" t="n">
        <v>3.96689043215598E-007</v>
      </c>
      <c r="AR46" s="168" t="n">
        <v>3.16828008732588E-007</v>
      </c>
      <c r="AS46" s="168" t="n">
        <v>8.03597348995778E-007</v>
      </c>
      <c r="AT46" s="168" t="n">
        <v>0</v>
      </c>
      <c r="AU46" s="168" t="n">
        <v>0</v>
      </c>
      <c r="AV46" s="168" t="n">
        <v>0</v>
      </c>
      <c r="AW46" s="168" t="n">
        <v>0</v>
      </c>
      <c r="AX46" s="168" t="n">
        <v>0</v>
      </c>
      <c r="AY46" s="168" t="n">
        <v>0</v>
      </c>
      <c r="AZ46" s="168" t="n">
        <v>0</v>
      </c>
      <c r="BA46" s="168" t="n">
        <v>0</v>
      </c>
      <c r="BB46" s="168" t="n">
        <v>0</v>
      </c>
      <c r="BC46" s="3" t="n">
        <v>0</v>
      </c>
      <c r="BD46" s="3" t="n">
        <v>0.00729244229094003</v>
      </c>
      <c r="BE46" s="3" t="n">
        <v>0.00277506162662649</v>
      </c>
      <c r="BF46" s="3" t="n">
        <v>0</v>
      </c>
      <c r="BG46" s="3" t="n">
        <v>0</v>
      </c>
      <c r="BH46" s="3" t="n">
        <v>0</v>
      </c>
      <c r="BI46" s="168" t="n">
        <v>0</v>
      </c>
      <c r="BJ46" s="168" t="n">
        <v>0.179394080357124</v>
      </c>
      <c r="BK46" s="168" t="n">
        <v>0.0521711585805781</v>
      </c>
      <c r="BL46" s="168" t="n">
        <v>2.18756191299547E-007</v>
      </c>
      <c r="BM46" s="168" t="n">
        <v>2.37645083679636E-007</v>
      </c>
      <c r="BN46" s="168" t="n">
        <v>2.50935257976339E-007</v>
      </c>
      <c r="BO46" s="168" t="n">
        <v>3.1275701361475E-007</v>
      </c>
      <c r="BP46" s="3" t="n">
        <v>3.48668742650455E-007</v>
      </c>
      <c r="BQ46" s="168" t="n">
        <v>3.28345445410377E-007</v>
      </c>
      <c r="BR46" s="168" t="n">
        <v>2.742417201794E-007</v>
      </c>
      <c r="BS46" s="168" t="n">
        <v>7.26395741784854E-032</v>
      </c>
      <c r="BT46" s="168" t="n">
        <v>5.23513890802917E-032</v>
      </c>
      <c r="BU46" s="168" t="n">
        <v>3.48897262870025E-032</v>
      </c>
      <c r="BV46" s="168" t="n">
        <v>1.71633271133178E-032</v>
      </c>
      <c r="BW46" s="3" t="n">
        <v>1.7029311394611E-031</v>
      </c>
      <c r="BX46" s="3" t="n">
        <v>3.91724252047244E-032</v>
      </c>
      <c r="BY46" s="3" t="n">
        <v>2.79503979212485E-032</v>
      </c>
      <c r="BZ46" s="169"/>
      <c r="CA46" s="169"/>
      <c r="CB46" s="169"/>
      <c r="CC46" s="169"/>
      <c r="CD46" s="169"/>
      <c r="CE46" s="169"/>
      <c r="CF46" s="169"/>
    </row>
    <row r="47" customFormat="false" ht="12.75" hidden="true" customHeight="false" outlineLevel="0" collapsed="false">
      <c r="A47" s="3" t="n">
        <v>6</v>
      </c>
      <c r="B47" s="3" t="n">
        <v>6.1</v>
      </c>
      <c r="C47" s="3" t="s">
        <v>323</v>
      </c>
      <c r="D47" s="3" t="s">
        <v>245</v>
      </c>
      <c r="E47" s="3" t="n">
        <v>0.055376091208537</v>
      </c>
      <c r="F47" s="3" t="n">
        <v>0.0217863558332448</v>
      </c>
      <c r="G47" s="3" t="n">
        <v>0.00320496038756659</v>
      </c>
      <c r="H47" s="3" t="n">
        <v>0.0504853003613898</v>
      </c>
      <c r="I47" s="168" t="n">
        <v>0.0218236943049571</v>
      </c>
      <c r="J47" s="3" t="n">
        <v>0.0564306086032965</v>
      </c>
      <c r="K47" s="3" t="n">
        <v>0.108489570606743</v>
      </c>
      <c r="L47" s="3" t="n">
        <v>3.62912486519383E-015</v>
      </c>
      <c r="M47" s="3" t="n">
        <v>0.192500971877839</v>
      </c>
      <c r="N47" s="3" t="n">
        <v>0</v>
      </c>
      <c r="O47" s="168" t="n">
        <v>0.122397372189286</v>
      </c>
      <c r="P47" s="3" t="n">
        <v>0</v>
      </c>
      <c r="Q47" s="3" t="n">
        <v>0.202644176091071</v>
      </c>
      <c r="R47" s="3" t="n">
        <v>1.45164994607753E-014</v>
      </c>
      <c r="S47" s="3" t="n">
        <v>0.11308822622247</v>
      </c>
      <c r="T47" s="168" t="n">
        <v>0</v>
      </c>
      <c r="U47" s="3" t="n">
        <v>0.201317357329967</v>
      </c>
      <c r="V47" s="168" t="n">
        <v>0</v>
      </c>
      <c r="W47" s="3" t="n">
        <v>0.000371177501504587</v>
      </c>
      <c r="X47" s="168" t="n">
        <v>0.0186809119667844</v>
      </c>
      <c r="Y47" s="3" t="n">
        <v>0.000493968836486242</v>
      </c>
      <c r="Z47" s="3" t="n">
        <v>0.029899876024763</v>
      </c>
      <c r="AA47" s="3" t="n">
        <v>0.000572369318716483</v>
      </c>
      <c r="AB47" s="3" t="n">
        <v>0.187013458019409</v>
      </c>
      <c r="AC47" s="3" t="n">
        <v>0.0644925919762808</v>
      </c>
      <c r="AD47" s="3" t="n">
        <v>0.0139453120926827</v>
      </c>
      <c r="AE47" s="168" t="n">
        <v>0.0165053004343304</v>
      </c>
      <c r="AF47" s="3" t="n">
        <v>0.0854998970717233</v>
      </c>
      <c r="AG47" s="3" t="n">
        <v>0</v>
      </c>
      <c r="AH47" s="168" t="n">
        <v>0.000495239666154272</v>
      </c>
      <c r="AI47" s="168" t="n">
        <v>0.0110500643336016</v>
      </c>
      <c r="AJ47" s="168" t="n">
        <v>0.0217863558332448</v>
      </c>
      <c r="AK47" s="3" t="n">
        <v>8.22213405731872E-005</v>
      </c>
      <c r="AL47" s="3" t="n">
        <v>6.65125980656951E-005</v>
      </c>
      <c r="AM47" s="3" t="n">
        <v>0.000206155411448663</v>
      </c>
      <c r="AN47" s="3" t="n">
        <v>0</v>
      </c>
      <c r="AO47" s="3" t="n">
        <v>0</v>
      </c>
      <c r="AP47" s="3" t="n">
        <v>0</v>
      </c>
      <c r="AQ47" s="168" t="n">
        <v>3.32050312203952E-007</v>
      </c>
      <c r="AR47" s="168" t="n">
        <v>3.40214918822161E-007</v>
      </c>
      <c r="AS47" s="168" t="n">
        <v>6.57859725287846E-007</v>
      </c>
      <c r="AT47" s="3" t="n">
        <v>4.52035364790345E-005</v>
      </c>
      <c r="AU47" s="168" t="n">
        <v>0.000549166360516138</v>
      </c>
      <c r="AV47" s="168" t="n">
        <v>6.74679822077675E-005</v>
      </c>
      <c r="AW47" s="168" t="n">
        <v>0.000534861540731472</v>
      </c>
      <c r="AX47" s="168" t="n">
        <v>6.80099907412191E-005</v>
      </c>
      <c r="AY47" s="168" t="n">
        <v>0.00053265975102521</v>
      </c>
      <c r="AZ47" s="168" t="n">
        <v>0.000149531167938473</v>
      </c>
      <c r="BA47" s="168" t="n">
        <v>9.11792616078939E-005</v>
      </c>
      <c r="BB47" s="168" t="n">
        <v>0.000175681208599157</v>
      </c>
      <c r="BC47" s="3" t="n">
        <v>6.89830585502463E-005</v>
      </c>
      <c r="BD47" s="3" t="n">
        <v>0.000168902462118221</v>
      </c>
      <c r="BE47" s="3" t="n">
        <v>0.000145195006279722</v>
      </c>
      <c r="BF47" s="3" t="n">
        <v>0.00367096418543418</v>
      </c>
      <c r="BG47" s="3" t="n">
        <v>0.00172162680520254</v>
      </c>
      <c r="BH47" s="3" t="n">
        <v>0.00431385171365788</v>
      </c>
      <c r="BI47" s="168" t="n">
        <v>0.00129415917631437</v>
      </c>
      <c r="BJ47" s="168" t="n">
        <v>0.00414791446910172</v>
      </c>
      <c r="BK47" s="168" t="n">
        <v>0.00273139373789628</v>
      </c>
      <c r="BL47" s="168" t="n">
        <v>1.91938758160143E-007</v>
      </c>
      <c r="BM47" s="168" t="n">
        <v>2.01871568979682E-007</v>
      </c>
      <c r="BN47" s="168" t="n">
        <v>2.50273734776225E-007</v>
      </c>
      <c r="BO47" s="168" t="n">
        <v>1.79141623999771E-007</v>
      </c>
      <c r="BP47" s="3" t="n">
        <v>3.15452347741544E-007</v>
      </c>
      <c r="BQ47" s="168" t="n">
        <v>2.07179331407162E-007</v>
      </c>
      <c r="BR47" s="168" t="n">
        <v>3.1016887218959E-007</v>
      </c>
      <c r="BS47" s="168" t="n">
        <v>6.18037783228451E-032</v>
      </c>
      <c r="BT47" s="168" t="n">
        <v>5.95684498944008E-032</v>
      </c>
      <c r="BU47" s="168" t="n">
        <v>4.44609874785984E-032</v>
      </c>
      <c r="BV47" s="168" t="n">
        <v>2.9727282340164E-032</v>
      </c>
      <c r="BW47" s="3" t="n">
        <v>1.78383743974421E-031</v>
      </c>
      <c r="BX47" s="3" t="n">
        <v>3.4390095642752E-032</v>
      </c>
      <c r="BY47" s="3" t="n">
        <v>2.71140825222562E-032</v>
      </c>
      <c r="BZ47" s="169"/>
      <c r="CA47" s="169"/>
      <c r="CB47" s="169"/>
      <c r="CC47" s="169"/>
      <c r="CD47" s="169"/>
      <c r="CE47" s="169"/>
      <c r="CF47" s="169"/>
    </row>
    <row r="48" customFormat="false" ht="12.75" hidden="true" customHeight="false" outlineLevel="0" collapsed="false">
      <c r="A48" s="3" t="n">
        <v>6</v>
      </c>
      <c r="B48" s="3" t="n">
        <v>6.1</v>
      </c>
      <c r="C48" s="3" t="s">
        <v>324</v>
      </c>
      <c r="D48" s="3" t="s">
        <v>245</v>
      </c>
      <c r="E48" s="3" t="n">
        <v>0.050948536375206</v>
      </c>
      <c r="F48" s="3" t="n">
        <v>0.0203651310033259</v>
      </c>
      <c r="G48" s="3" t="n">
        <v>0.00333240437205823</v>
      </c>
      <c r="H48" s="3" t="n">
        <v>0.0434153066555218</v>
      </c>
      <c r="I48" s="3" t="n">
        <v>0.0217407457500906</v>
      </c>
      <c r="J48" s="3" t="n">
        <v>0.0516048737282906</v>
      </c>
      <c r="K48" s="3" t="n">
        <v>0.105435089114896</v>
      </c>
      <c r="L48" s="3" t="n">
        <v>4.19055243568485E-015</v>
      </c>
      <c r="M48" s="3" t="n">
        <v>0.171321789031932</v>
      </c>
      <c r="N48" s="3" t="n">
        <v>0</v>
      </c>
      <c r="O48" s="3" t="n">
        <v>0.0915052265514429</v>
      </c>
      <c r="P48" s="3" t="n">
        <v>0</v>
      </c>
      <c r="Q48" s="3" t="n">
        <v>0.156762860868969</v>
      </c>
      <c r="R48" s="3" t="n">
        <v>8.3811048713697E-015</v>
      </c>
      <c r="S48" s="3" t="n">
        <v>0.0975344881106979</v>
      </c>
      <c r="T48" s="3" t="n">
        <v>0</v>
      </c>
      <c r="U48" s="3" t="n">
        <v>0.181868880414002</v>
      </c>
      <c r="V48" s="3" t="n">
        <v>0</v>
      </c>
      <c r="W48" s="3" t="n">
        <v>0.0003485628103328</v>
      </c>
      <c r="X48" s="3" t="n">
        <v>0.0172707584118576</v>
      </c>
      <c r="Y48" s="3" t="n">
        <v>0.000448874868538882</v>
      </c>
      <c r="Z48" s="3" t="n">
        <v>0.0197604496135814</v>
      </c>
      <c r="AA48" s="3" t="n">
        <v>0.000485121790093151</v>
      </c>
      <c r="AB48" s="3" t="n">
        <v>0.150263243574622</v>
      </c>
      <c r="AC48" s="3" t="n">
        <v>0.0607525939900098</v>
      </c>
      <c r="AD48" s="3" t="n">
        <v>0.0148499927643567</v>
      </c>
      <c r="AE48" s="3" t="n">
        <v>0.0157803467119015</v>
      </c>
      <c r="AF48" s="3" t="n">
        <v>0.0736734625054187</v>
      </c>
      <c r="AG48" s="3" t="n">
        <v>0</v>
      </c>
      <c r="AH48" s="3" t="n">
        <v>0.000376293428208689</v>
      </c>
      <c r="AI48" s="3" t="n">
        <v>0.00926895595308752</v>
      </c>
      <c r="AJ48" s="3" t="n">
        <v>0.0203651310033259</v>
      </c>
      <c r="AK48" s="3" t="n">
        <v>8.98999762658985E-005</v>
      </c>
      <c r="AL48" s="3" t="n">
        <v>4.81911658796609E-005</v>
      </c>
      <c r="AM48" s="3" t="n">
        <v>0.000105662191827943</v>
      </c>
      <c r="AN48" s="168" t="n">
        <v>0</v>
      </c>
      <c r="AO48" s="168" t="n">
        <v>0</v>
      </c>
      <c r="AP48" s="168" t="n">
        <v>0</v>
      </c>
      <c r="AQ48" s="3" t="n">
        <v>4.45470117613486E-007</v>
      </c>
      <c r="AR48" s="3" t="n">
        <v>3.33252314837791E-007</v>
      </c>
      <c r="AS48" s="3" t="n">
        <v>7.94113293428132E-007</v>
      </c>
      <c r="AT48" s="3" t="n">
        <v>5.39116722593134E-005</v>
      </c>
      <c r="AU48" s="3" t="n">
        <v>0.00044230996730093</v>
      </c>
      <c r="AV48" s="3" t="n">
        <v>5.47291830582036E-005</v>
      </c>
      <c r="AW48" s="3" t="n">
        <v>0.000517684542745627</v>
      </c>
      <c r="AX48" s="3" t="n">
        <v>6.09339194226552E-005</v>
      </c>
      <c r="AY48" s="3" t="n">
        <v>0.000455908522161504</v>
      </c>
      <c r="AZ48" s="3" t="n">
        <v>0.000180024339492118</v>
      </c>
      <c r="BA48" s="3" t="n">
        <v>9.34376725174169E-005</v>
      </c>
      <c r="BB48" s="3" t="n">
        <v>0.000176683367846007</v>
      </c>
      <c r="BC48" s="3" t="n">
        <v>0.000106649472735273</v>
      </c>
      <c r="BD48" s="3" t="n">
        <v>0.000174578732087651</v>
      </c>
      <c r="BE48" s="3" t="n">
        <v>9.6693694694428E-005</v>
      </c>
      <c r="BF48" s="3" t="n">
        <v>0.00441970464781416</v>
      </c>
      <c r="BG48" s="3" t="n">
        <v>0.00176278360210721</v>
      </c>
      <c r="BH48" s="3" t="n">
        <v>0.00433804046603142</v>
      </c>
      <c r="BI48" s="168" t="n">
        <v>0.00199881299731861</v>
      </c>
      <c r="BJ48" s="168" t="n">
        <v>0.00428699727108566</v>
      </c>
      <c r="BK48" s="168" t="n">
        <v>0.00182215717887341</v>
      </c>
      <c r="BL48" s="168" t="n">
        <v>2.40033560455465E-007</v>
      </c>
      <c r="BM48" s="168" t="n">
        <v>2.18113668012605E-007</v>
      </c>
      <c r="BN48" s="168" t="n">
        <v>2.08400421256076E-007</v>
      </c>
      <c r="BO48" s="168" t="n">
        <v>1.99479171118552E-007</v>
      </c>
      <c r="BP48" s="168" t="n">
        <v>2.24577580765776E-007</v>
      </c>
      <c r="BQ48" s="168" t="n">
        <v>2.29221856964262E-007</v>
      </c>
      <c r="BR48" s="168" t="n">
        <v>2.81751038216777E-007</v>
      </c>
      <c r="BS48" s="168" t="n">
        <v>8.72423825573734E-032</v>
      </c>
      <c r="BT48" s="168" t="n">
        <v>6.61507456781066E-032</v>
      </c>
      <c r="BU48" s="168" t="n">
        <v>3.97497389241031E-032</v>
      </c>
      <c r="BV48" s="168" t="n">
        <v>3.52782719064485E-032</v>
      </c>
      <c r="BW48" s="3" t="n">
        <v>1.24769278925427E-031</v>
      </c>
      <c r="BX48" s="3" t="n">
        <v>3.87919869894966E-032</v>
      </c>
      <c r="BY48" s="3" t="n">
        <v>1.94569999849367E-032</v>
      </c>
      <c r="BZ48" s="169"/>
      <c r="CA48" s="169"/>
      <c r="CB48" s="169"/>
      <c r="CC48" s="169"/>
      <c r="CD48" s="169"/>
      <c r="CE48" s="169"/>
      <c r="CF48" s="169"/>
    </row>
    <row r="49" customFormat="false" ht="12.75" hidden="true" customHeight="false" outlineLevel="0" collapsed="false">
      <c r="A49" s="3" t="n">
        <v>6</v>
      </c>
      <c r="B49" s="3" t="n">
        <v>6.2</v>
      </c>
      <c r="C49" s="3" t="s">
        <v>325</v>
      </c>
      <c r="D49" s="3" t="s">
        <v>245</v>
      </c>
      <c r="E49" s="3" t="n">
        <v>0.484553438406753</v>
      </c>
      <c r="F49" s="3" t="n">
        <v>0.493334218515892</v>
      </c>
      <c r="G49" s="3" t="n">
        <v>0.332326095229132</v>
      </c>
      <c r="H49" s="3" t="n">
        <v>0.0316074323852087</v>
      </c>
      <c r="I49" s="168" t="n">
        <v>0.205688622807737</v>
      </c>
      <c r="J49" s="3" t="n">
        <v>0.205111979007992</v>
      </c>
      <c r="K49" s="3" t="n">
        <v>0.0863048556201979</v>
      </c>
      <c r="L49" s="3" t="n">
        <v>4.38258464004065E-015</v>
      </c>
      <c r="M49" s="3" t="n">
        <v>0.158460742598679</v>
      </c>
      <c r="N49" s="3" t="n">
        <v>0</v>
      </c>
      <c r="O49" s="168" t="n">
        <v>0.101929769172096</v>
      </c>
      <c r="P49" s="3" t="n">
        <v>0</v>
      </c>
      <c r="Q49" s="3" t="n">
        <v>0.184228141107937</v>
      </c>
      <c r="R49" s="3" t="n">
        <v>5.92633608838112E-015</v>
      </c>
      <c r="S49" s="3" t="n">
        <v>0.0998788968730722</v>
      </c>
      <c r="T49" s="168" t="n">
        <v>0</v>
      </c>
      <c r="U49" s="3" t="n">
        <v>0.156213411576988</v>
      </c>
      <c r="V49" s="168" t="n">
        <v>0</v>
      </c>
      <c r="W49" s="3" t="n">
        <v>0.000995336640450443</v>
      </c>
      <c r="X49" s="168" t="n">
        <v>0.242181473537443</v>
      </c>
      <c r="Y49" s="3" t="n">
        <v>0.00156071121659824</v>
      </c>
      <c r="Z49" s="3" t="n">
        <v>0.623713059578164</v>
      </c>
      <c r="AA49" s="3" t="n">
        <v>0.00202500221688608</v>
      </c>
      <c r="AB49" s="3" t="n">
        <v>0.489910926762078</v>
      </c>
      <c r="AC49" s="3" t="n">
        <v>0.741269947073304</v>
      </c>
      <c r="AD49" s="3" t="n">
        <v>0.609255561371975</v>
      </c>
      <c r="AE49" s="168" t="n">
        <v>0.34731828969063</v>
      </c>
      <c r="AF49" s="3" t="n">
        <v>0.0756914482562614</v>
      </c>
      <c r="AG49" s="3" t="n">
        <v>0</v>
      </c>
      <c r="AH49" s="168" t="n">
        <v>0.00899401423224258</v>
      </c>
      <c r="AI49" s="168" t="n">
        <v>0.265221549258691</v>
      </c>
      <c r="AJ49" s="168" t="n">
        <v>0.493334218515892</v>
      </c>
      <c r="AK49" s="168" t="n">
        <v>0.00162734744604412</v>
      </c>
      <c r="AL49" s="168" t="n">
        <v>0.000914612517939522</v>
      </c>
      <c r="AM49" s="168" t="n">
        <v>0.000944930639276542</v>
      </c>
      <c r="AN49" s="3" t="n">
        <v>0.00459615024435621</v>
      </c>
      <c r="AO49" s="3" t="n">
        <v>0.00379064295703955</v>
      </c>
      <c r="AP49" s="3" t="n">
        <v>0.00489077773009005</v>
      </c>
      <c r="AQ49" s="168" t="n">
        <v>0.109979515328959</v>
      </c>
      <c r="AR49" s="168" t="n">
        <v>0.0932146294166065</v>
      </c>
      <c r="AS49" s="168" t="n">
        <v>0.120057102935269</v>
      </c>
      <c r="AT49" s="168" t="n">
        <v>0.00113705776674974</v>
      </c>
      <c r="AU49" s="168" t="n">
        <v>0.000300760221192852</v>
      </c>
      <c r="AV49" s="168" t="n">
        <v>0.00113699113478359</v>
      </c>
      <c r="AW49" s="168" t="n">
        <v>0.00303643575990941</v>
      </c>
      <c r="AX49" s="168" t="n">
        <v>0.00112120867338509</v>
      </c>
      <c r="AY49" s="168" t="n">
        <v>0.000203011457519272</v>
      </c>
      <c r="AZ49" s="168" t="n">
        <v>0.000820375262588349</v>
      </c>
      <c r="BA49" s="168" t="n">
        <v>0.000448013209446268</v>
      </c>
      <c r="BB49" s="168" t="n">
        <v>0.000398626338480012</v>
      </c>
      <c r="BC49" s="168" t="n">
        <v>0.000364680265071323</v>
      </c>
      <c r="BD49" s="168" t="n">
        <v>0.000478339637787938</v>
      </c>
      <c r="BE49" s="168" t="n">
        <v>0.000330266815575321</v>
      </c>
      <c r="BF49" s="168" t="n">
        <v>0.0198313662774946</v>
      </c>
      <c r="BG49" s="168" t="n">
        <v>0.00839848869781367</v>
      </c>
      <c r="BH49" s="168" t="n">
        <v>0.00987098215050581</v>
      </c>
      <c r="BI49" s="168" t="n">
        <v>0.00693456159371418</v>
      </c>
      <c r="BJ49" s="168" t="n">
        <v>0.0114178253759805</v>
      </c>
      <c r="BK49" s="168" t="n">
        <v>0.00618680333619647</v>
      </c>
      <c r="BL49" s="168" t="n">
        <v>0.00147818906352903</v>
      </c>
      <c r="BM49" s="168" t="n">
        <v>1.77007908828935E-005</v>
      </c>
      <c r="BN49" s="168" t="n">
        <v>4.12255040236017E-006</v>
      </c>
      <c r="BO49" s="168" t="n">
        <v>1.89719847599528E-006</v>
      </c>
      <c r="BP49" s="168" t="n">
        <v>2.85013482330476E-006</v>
      </c>
      <c r="BQ49" s="168" t="n">
        <v>3.77803480220427E-006</v>
      </c>
      <c r="BR49" s="168" t="n">
        <v>1.7587794559881E-005</v>
      </c>
      <c r="BS49" s="168" t="n">
        <v>0.0104060910842034</v>
      </c>
      <c r="BT49" s="168" t="n">
        <v>2.45501908600112E-028</v>
      </c>
      <c r="BU49" s="168" t="n">
        <v>9.70818373912068E-030</v>
      </c>
      <c r="BV49" s="168" t="n">
        <v>1.92321083989472E-030</v>
      </c>
      <c r="BW49" s="3" t="n">
        <v>2.29290286759945E-030</v>
      </c>
      <c r="BX49" s="3" t="n">
        <v>7.7761340625546E-030</v>
      </c>
      <c r="BY49" s="3" t="n">
        <v>3.56519725179604E-028</v>
      </c>
      <c r="BZ49" s="169"/>
      <c r="CA49" s="169"/>
      <c r="CB49" s="169"/>
      <c r="CC49" s="169"/>
      <c r="CD49" s="169"/>
      <c r="CE49" s="169"/>
      <c r="CF49" s="169"/>
    </row>
    <row r="50" customFormat="false" ht="12.75" hidden="true" customHeight="false" outlineLevel="0" collapsed="false">
      <c r="A50" s="3" t="n">
        <v>6</v>
      </c>
      <c r="B50" s="3" t="n">
        <v>6.2</v>
      </c>
      <c r="C50" s="3" t="s">
        <v>326</v>
      </c>
      <c r="D50" s="3" t="s">
        <v>245</v>
      </c>
      <c r="E50" s="3" t="n">
        <v>0.211534677240565</v>
      </c>
      <c r="F50" s="3" t="n">
        <v>0.216313375486796</v>
      </c>
      <c r="G50" s="3" t="n">
        <v>0.221982443445941</v>
      </c>
      <c r="H50" s="3" t="n">
        <v>0.0472358143710842</v>
      </c>
      <c r="I50" s="168" t="n">
        <v>0.0147722959599076</v>
      </c>
      <c r="J50" s="3" t="n">
        <v>0.0464868142010194</v>
      </c>
      <c r="K50" s="3" t="n">
        <v>0.0964600024302262</v>
      </c>
      <c r="L50" s="3" t="n">
        <v>3.62912486519383E-015</v>
      </c>
      <c r="M50" s="3" t="n">
        <v>0.188480664519812</v>
      </c>
      <c r="N50" s="3" t="n">
        <v>0</v>
      </c>
      <c r="O50" s="168" t="n">
        <v>0.115663663328172</v>
      </c>
      <c r="P50" s="3" t="n">
        <v>0</v>
      </c>
      <c r="Q50" s="3" t="n">
        <v>0.198669034922308</v>
      </c>
      <c r="R50" s="3" t="n">
        <v>9.82771659335135E-015</v>
      </c>
      <c r="S50" s="3" t="n">
        <v>0.0994333410388208</v>
      </c>
      <c r="T50" s="168" t="n">
        <v>0</v>
      </c>
      <c r="U50" s="168" t="n">
        <v>0.150734661661105</v>
      </c>
      <c r="V50" s="168" t="n">
        <v>0</v>
      </c>
      <c r="W50" s="3" t="n">
        <v>0.000376120226692929</v>
      </c>
      <c r="X50" s="168" t="n">
        <v>0.0211162252159603</v>
      </c>
      <c r="Y50" s="3" t="n">
        <v>0.000274929411748763</v>
      </c>
      <c r="Z50" s="3" t="n">
        <v>0.245879786162259</v>
      </c>
      <c r="AA50" s="3" t="n">
        <v>0.00073897403962904</v>
      </c>
      <c r="AB50" s="3" t="n">
        <v>0.0381512531605944</v>
      </c>
      <c r="AC50" s="3" t="n">
        <v>0.105104426195082</v>
      </c>
      <c r="AD50" s="3" t="n">
        <v>0.0406247692526949</v>
      </c>
      <c r="AE50" s="168" t="n">
        <v>0.148510597094202</v>
      </c>
      <c r="AF50" s="168" t="n">
        <v>0.0756401082740489</v>
      </c>
      <c r="AG50" s="3" t="n">
        <v>0</v>
      </c>
      <c r="AH50" s="168" t="n">
        <v>0.00154795228269245</v>
      </c>
      <c r="AI50" s="168" t="n">
        <v>0.0189553894397593</v>
      </c>
      <c r="AJ50" s="168" t="n">
        <v>0.216313375486796</v>
      </c>
      <c r="AK50" s="168" t="n">
        <v>0.00115425770111356</v>
      </c>
      <c r="AL50" s="168" t="n">
        <v>0.000299881087543672</v>
      </c>
      <c r="AM50" s="168" t="n">
        <v>0.000401127541247847</v>
      </c>
      <c r="AN50" s="3" t="n">
        <v>0.00426682635791791</v>
      </c>
      <c r="AO50" s="168" t="n">
        <v>0.000492467726817268</v>
      </c>
      <c r="AP50" s="3" t="n">
        <v>0.00499717065512567</v>
      </c>
      <c r="AQ50" s="168" t="n">
        <v>0.102139610818701</v>
      </c>
      <c r="AR50" s="168" t="n">
        <v>0.011954437094803</v>
      </c>
      <c r="AS50" s="168" t="n">
        <v>0.121447909531117</v>
      </c>
      <c r="AT50" s="168" t="n">
        <v>3.84588317442528E-005</v>
      </c>
      <c r="AU50" s="168" t="n">
        <v>0.000141686412008527</v>
      </c>
      <c r="AV50" s="168" t="n">
        <v>5.02122964032485E-005</v>
      </c>
      <c r="AW50" s="168" t="n">
        <v>0.000816118603869099</v>
      </c>
      <c r="AX50" s="168" t="n">
        <v>5.19200716559922E-005</v>
      </c>
      <c r="AY50" s="168" t="n">
        <v>0.000266821242337526</v>
      </c>
      <c r="AZ50" s="168" t="n">
        <v>0.000622148968680462</v>
      </c>
      <c r="BA50" s="168" t="n">
        <v>0.000355968305198232</v>
      </c>
      <c r="BB50" s="168" t="n">
        <v>0.00042115108191869</v>
      </c>
      <c r="BC50" s="168" t="n">
        <v>0.000308370550448272</v>
      </c>
      <c r="BD50" s="168" t="n">
        <v>0.000293673091129924</v>
      </c>
      <c r="BE50" s="168" t="n">
        <v>0.000348797694031994</v>
      </c>
      <c r="BF50" s="168" t="n">
        <v>0.0152173032627257</v>
      </c>
      <c r="BG50" s="168" t="n">
        <v>0.00666061349562089</v>
      </c>
      <c r="BH50" s="168" t="n">
        <v>0.0103045435384972</v>
      </c>
      <c r="BI50" s="168" t="n">
        <v>0.00572760426983558</v>
      </c>
      <c r="BJ50" s="168" t="n">
        <v>0.00718536381780532</v>
      </c>
      <c r="BK50" s="168" t="n">
        <v>0.00656337887200072</v>
      </c>
      <c r="BL50" s="168" t="n">
        <v>0.000173881722044151</v>
      </c>
      <c r="BM50" s="168" t="n">
        <v>7.3442533583275E-007</v>
      </c>
      <c r="BN50" s="168" t="n">
        <v>1.00980213171561E-006</v>
      </c>
      <c r="BO50" s="168" t="n">
        <v>2.39634023950653E-007</v>
      </c>
      <c r="BP50" s="168" t="n">
        <v>5.57114539195136E-007</v>
      </c>
      <c r="BQ50" s="168" t="n">
        <v>9.87654758044001E-007</v>
      </c>
      <c r="BR50" s="168" t="n">
        <v>9.36366323359476E-007</v>
      </c>
      <c r="BS50" s="168" t="n">
        <v>0.00122419648191075</v>
      </c>
      <c r="BT50" s="168" t="n">
        <v>1.6111826203371E-029</v>
      </c>
      <c r="BU50" s="168" t="n">
        <v>5.66563038427556E-030</v>
      </c>
      <c r="BV50" s="168" t="n">
        <v>6.4060804570473E-031</v>
      </c>
      <c r="BW50" s="3" t="n">
        <v>1.91966366917636E-030</v>
      </c>
      <c r="BX50" s="3" t="n">
        <v>2.63483550111694E-030</v>
      </c>
      <c r="BY50" s="3" t="n">
        <v>2.46467466057386E-029</v>
      </c>
      <c r="BZ50" s="169"/>
      <c r="CA50" s="169"/>
      <c r="CB50" s="169"/>
      <c r="CC50" s="169"/>
      <c r="CD50" s="169"/>
      <c r="CE50" s="169"/>
      <c r="CF50" s="169"/>
    </row>
    <row r="51" customFormat="false" ht="12.75" hidden="true" customHeight="false" outlineLevel="0" collapsed="false">
      <c r="A51" s="3" t="n">
        <v>6</v>
      </c>
      <c r="B51" s="3" t="n">
        <v>6.2</v>
      </c>
      <c r="C51" s="3" t="s">
        <v>327</v>
      </c>
      <c r="D51" s="3" t="s">
        <v>245</v>
      </c>
      <c r="E51" s="3" t="n">
        <v>0.177343129882155</v>
      </c>
      <c r="F51" s="3" t="n">
        <v>0.165463554354329</v>
      </c>
      <c r="G51" s="3" t="n">
        <v>0.154799014706558</v>
      </c>
      <c r="H51" s="3" t="n">
        <v>0.0312130555740059</v>
      </c>
      <c r="I51" s="168" t="n">
        <v>0.022363132236888</v>
      </c>
      <c r="J51" s="3" t="n">
        <v>0.0402276999838285</v>
      </c>
      <c r="K51" s="3" t="n">
        <v>0.0681388213848016</v>
      </c>
      <c r="L51" s="3" t="n">
        <v>4.56654864618962E-015</v>
      </c>
      <c r="M51" s="3" t="n">
        <v>0.118929407118405</v>
      </c>
      <c r="N51" s="3" t="n">
        <v>0</v>
      </c>
      <c r="O51" s="168" t="n">
        <v>0.0719439043504695</v>
      </c>
      <c r="P51" s="3" t="n">
        <v>0</v>
      </c>
      <c r="Q51" s="3" t="n">
        <v>0.137346634572027</v>
      </c>
      <c r="R51" s="3" t="n">
        <v>1.18526721767622E-014</v>
      </c>
      <c r="S51" s="3" t="n">
        <v>0.0771507165238587</v>
      </c>
      <c r="T51" s="168" t="n">
        <v>0</v>
      </c>
      <c r="U51" s="168" t="n">
        <v>0.11957776299201</v>
      </c>
      <c r="V51" s="168" t="n">
        <v>0</v>
      </c>
      <c r="W51" s="3" t="n">
        <v>0.000293384549595402</v>
      </c>
      <c r="X51" s="168" t="n">
        <v>0.0133483371931232</v>
      </c>
      <c r="Y51" s="168" t="n">
        <v>0.000266915828671004</v>
      </c>
      <c r="Z51" s="3" t="n">
        <v>0.173775957999495</v>
      </c>
      <c r="AA51" s="3" t="n">
        <v>0.000326705561229688</v>
      </c>
      <c r="AB51" s="3" t="n">
        <v>0.0229263209360148</v>
      </c>
      <c r="AC51" s="3" t="n">
        <v>0.0607265587564923</v>
      </c>
      <c r="AD51" s="3" t="n">
        <v>0.0368652111464821</v>
      </c>
      <c r="AE51" s="168" t="n">
        <v>0.107985211051314</v>
      </c>
      <c r="AF51" s="168" t="n">
        <v>0.0578895840985321</v>
      </c>
      <c r="AG51" s="3" t="n">
        <v>0</v>
      </c>
      <c r="AH51" s="168" t="n">
        <v>0.000667751848759487</v>
      </c>
      <c r="AI51" s="168" t="n">
        <v>0.0121820210575627</v>
      </c>
      <c r="AJ51" s="168" t="n">
        <v>0.165463554354329</v>
      </c>
      <c r="AK51" s="168" t="n">
        <v>0.000377801727004522</v>
      </c>
      <c r="AL51" s="168" t="n">
        <v>0.000249334592727376</v>
      </c>
      <c r="AM51" s="168" t="n">
        <v>0.000262140893083012</v>
      </c>
      <c r="AN51" s="3" t="n">
        <v>0.00240875014550661</v>
      </c>
      <c r="AO51" s="3" t="n">
        <v>0.00161757158370377</v>
      </c>
      <c r="AP51" s="3" t="n">
        <v>0.00272028492261698</v>
      </c>
      <c r="AQ51" s="168" t="n">
        <v>0.0586215010012957</v>
      </c>
      <c r="AR51" s="168" t="n">
        <v>0.0394034876187596</v>
      </c>
      <c r="AS51" s="168" t="n">
        <v>0.0661237925619473</v>
      </c>
      <c r="AT51" s="168" t="n">
        <v>3.64711202000395E-005</v>
      </c>
      <c r="AU51" s="168" t="n">
        <v>0.000174196610350613</v>
      </c>
      <c r="AV51" s="168" t="n">
        <v>4.47918398033368E-005</v>
      </c>
      <c r="AW51" s="168" t="n">
        <v>0.00315646488823515</v>
      </c>
      <c r="AX51" s="168" t="n">
        <v>3.67961206215147E-005</v>
      </c>
      <c r="AY51" s="168" t="n">
        <v>0.000209311607210337</v>
      </c>
      <c r="AZ51" s="168" t="n">
        <v>0.000721826233480363</v>
      </c>
      <c r="BA51" s="168" t="n">
        <v>0.000306270921787821</v>
      </c>
      <c r="BB51" s="168" t="n">
        <v>0.000483422535602855</v>
      </c>
      <c r="BC51" s="168" t="n">
        <v>0.000713414888650312</v>
      </c>
      <c r="BD51" s="168" t="n">
        <v>0.000337216137945612</v>
      </c>
      <c r="BE51" s="168" t="n">
        <v>0.000438000539952981</v>
      </c>
      <c r="BF51" s="168" t="n">
        <v>0.0176592948260207</v>
      </c>
      <c r="BG51" s="168" t="n">
        <v>0.00575356536256759</v>
      </c>
      <c r="BH51" s="168" t="n">
        <v>0.0118278381012356</v>
      </c>
      <c r="BI51" s="168" t="n">
        <v>0.0130281230964562</v>
      </c>
      <c r="BJ51" s="168" t="n">
        <v>0.008245780450091</v>
      </c>
      <c r="BK51" s="168" t="n">
        <v>0.00819919930038679</v>
      </c>
      <c r="BL51" s="168" t="n">
        <v>0.000247245147957687</v>
      </c>
      <c r="BM51" s="168" t="n">
        <v>9.20617793162261E-007</v>
      </c>
      <c r="BN51" s="168" t="n">
        <v>6.64216465501629E-007</v>
      </c>
      <c r="BO51" s="168" t="n">
        <v>4.23053712199523E-007</v>
      </c>
      <c r="BP51" s="168" t="n">
        <v>5.37256345515901E-007</v>
      </c>
      <c r="BQ51" s="168" t="n">
        <v>4.7215055692628E-007</v>
      </c>
      <c r="BR51" s="168" t="n">
        <v>1.09742199868073E-006</v>
      </c>
      <c r="BS51" s="168" t="n">
        <v>0.0017408470389924</v>
      </c>
      <c r="BT51" s="168" t="n">
        <v>2.03294246173391E-029</v>
      </c>
      <c r="BU51" s="168" t="n">
        <v>3.91692927054066E-030</v>
      </c>
      <c r="BV51" s="168" t="n">
        <v>9.12614113528219E-031</v>
      </c>
      <c r="BW51" s="3" t="n">
        <v>1.93381796605857E-030</v>
      </c>
      <c r="BX51" s="3" t="n">
        <v>7.84719477296001E-031</v>
      </c>
      <c r="BY51" s="3" t="n">
        <v>2.87758149573784E-029</v>
      </c>
      <c r="BZ51" s="169"/>
      <c r="CA51" s="169"/>
      <c r="CB51" s="169"/>
      <c r="CC51" s="169"/>
      <c r="CD51" s="169"/>
      <c r="CE51" s="169"/>
      <c r="CF51" s="169"/>
    </row>
    <row r="52" customFormat="false" ht="12.75" hidden="true" customHeight="false" outlineLevel="0" collapsed="false">
      <c r="A52" s="3" t="n">
        <v>6</v>
      </c>
      <c r="B52" s="3" t="n">
        <v>6.3</v>
      </c>
      <c r="C52" s="3" t="s">
        <v>328</v>
      </c>
      <c r="D52" s="3" t="s">
        <v>245</v>
      </c>
      <c r="E52" s="3" t="n">
        <v>0.438847963001742</v>
      </c>
      <c r="F52" s="3" t="n">
        <v>0.421640369322931</v>
      </c>
      <c r="G52" s="3" t="n">
        <v>0.305523123440017</v>
      </c>
      <c r="H52" s="3" t="n">
        <v>0.0474990245244643</v>
      </c>
      <c r="I52" s="3" t="n">
        <v>0.581075276074104</v>
      </c>
      <c r="J52" s="3" t="n">
        <v>0.598147784760151</v>
      </c>
      <c r="K52" s="3" t="n">
        <v>0.122184948716093</v>
      </c>
      <c r="L52" s="3" t="n">
        <v>3.62912486519383E-015</v>
      </c>
      <c r="M52" s="3" t="n">
        <v>0.20583823931547</v>
      </c>
      <c r="N52" s="3" t="n">
        <v>0</v>
      </c>
      <c r="O52" s="168" t="n">
        <v>0.118118865407758</v>
      </c>
      <c r="P52" s="3" t="n">
        <v>0</v>
      </c>
      <c r="Q52" s="3" t="n">
        <v>0.207797192555767</v>
      </c>
      <c r="R52" s="3" t="n">
        <v>1.45164994607753E-014</v>
      </c>
      <c r="S52" s="168" t="n">
        <v>0.121740860621757</v>
      </c>
      <c r="T52" s="168" t="n">
        <v>0</v>
      </c>
      <c r="U52" s="3" t="n">
        <v>0.213442222681416</v>
      </c>
      <c r="V52" s="168" t="n">
        <v>0</v>
      </c>
      <c r="W52" s="3" t="n">
        <v>0.000593856499464679</v>
      </c>
      <c r="X52" s="168" t="n">
        <v>0.00884186294249382</v>
      </c>
      <c r="Y52" s="3" t="n">
        <v>0.000949134515000113</v>
      </c>
      <c r="Z52" s="3" t="n">
        <v>0.0175835850636033</v>
      </c>
      <c r="AA52" s="3" t="n">
        <v>0.00138466268060414</v>
      </c>
      <c r="AB52" s="3" t="n">
        <v>0.0128185394545459</v>
      </c>
      <c r="AC52" s="3" t="n">
        <v>0.142171722610882</v>
      </c>
      <c r="AD52" s="168" t="n">
        <v>0.0601596001209894</v>
      </c>
      <c r="AE52" s="168" t="n">
        <v>0.298619638578785</v>
      </c>
      <c r="AF52" s="3" t="n">
        <v>0.0936183460242643</v>
      </c>
      <c r="AG52" s="3" t="n">
        <v>0</v>
      </c>
      <c r="AH52" s="168" t="n">
        <v>0.00246552339163722</v>
      </c>
      <c r="AI52" s="168" t="n">
        <v>0.0179160459693156</v>
      </c>
      <c r="AJ52" s="168" t="n">
        <v>0.421640369322931</v>
      </c>
      <c r="AK52" s="168" t="n">
        <v>0.0393559034055824</v>
      </c>
      <c r="AL52" s="168" t="n">
        <v>0.000230536598371713</v>
      </c>
      <c r="AM52" s="168" t="n">
        <v>0.000313511204524389</v>
      </c>
      <c r="AN52" s="3" t="n">
        <v>0.00773321361826997</v>
      </c>
      <c r="AO52" s="3" t="n">
        <v>0.0051601350146854</v>
      </c>
      <c r="AP52" s="3" t="n">
        <v>0.00415468127812789</v>
      </c>
      <c r="AQ52" s="168" t="n">
        <v>0.230199241310211</v>
      </c>
      <c r="AR52" s="168" t="n">
        <v>0.125166927125918</v>
      </c>
      <c r="AS52" s="168" t="n">
        <v>0.100625318762227</v>
      </c>
      <c r="AT52" s="168" t="n">
        <v>5.14677604166452E-005</v>
      </c>
      <c r="AU52" s="168" t="n">
        <v>0.00134332716312018</v>
      </c>
      <c r="AV52" s="168" t="n">
        <v>4.87189633638742E-005</v>
      </c>
      <c r="AW52" s="168" t="n">
        <v>0.0044910671763633</v>
      </c>
      <c r="AX52" s="168" t="n">
        <v>0.000679374776028964</v>
      </c>
      <c r="AY52" s="168" t="n">
        <v>0.00167946492505535</v>
      </c>
      <c r="AZ52" s="168" t="n">
        <v>0.000425378896787252</v>
      </c>
      <c r="BA52" s="168" t="n">
        <v>0.000656227525071322</v>
      </c>
      <c r="BB52" s="168" t="n">
        <v>0.000971485285498952</v>
      </c>
      <c r="BC52" s="168" t="n">
        <v>0.000677581444932308</v>
      </c>
      <c r="BD52" s="168" t="n">
        <v>0.00414743263465459</v>
      </c>
      <c r="BE52" s="168" t="n">
        <v>0.00522162559754291</v>
      </c>
      <c r="BF52" s="168" t="n">
        <v>0.0103582533001522</v>
      </c>
      <c r="BG52" s="168" t="n">
        <v>0.0146629674964393</v>
      </c>
      <c r="BH52" s="168" t="n">
        <v>0.0236248862610885</v>
      </c>
      <c r="BI52" s="168" t="n">
        <v>0.0203647680605634</v>
      </c>
      <c r="BJ52" s="168" t="n">
        <v>0.0998934163320855</v>
      </c>
      <c r="BK52" s="168" t="n">
        <v>0.093548815780296</v>
      </c>
      <c r="BL52" s="168" t="n">
        <v>0.000213827006978115</v>
      </c>
      <c r="BM52" s="168" t="n">
        <v>0.000111307578814578</v>
      </c>
      <c r="BN52" s="168" t="n">
        <v>0.000121319345028008</v>
      </c>
      <c r="BO52" s="168" t="n">
        <v>0.000272373764405404</v>
      </c>
      <c r="BP52" s="168" t="n">
        <v>2.85745875407094E-005</v>
      </c>
      <c r="BQ52" s="168" t="n">
        <v>2.5839508990712E-005</v>
      </c>
      <c r="BR52" s="168" t="n">
        <v>2.2737740372072E-005</v>
      </c>
      <c r="BS52" s="168" t="n">
        <v>0.00150049842307546</v>
      </c>
      <c r="BT52" s="168" t="n">
        <v>0.000779303709799246</v>
      </c>
      <c r="BU52" s="168" t="n">
        <v>0.000856231460541993</v>
      </c>
      <c r="BV52" s="168" t="n">
        <v>0.00183689633132516</v>
      </c>
      <c r="BW52" s="3" t="n">
        <v>9.6973020818951E-028</v>
      </c>
      <c r="BX52" s="3" t="n">
        <v>1.1046582786339E-027</v>
      </c>
      <c r="BY52" s="3" t="n">
        <v>1.1033504974003E-027</v>
      </c>
      <c r="BZ52" s="169"/>
      <c r="CA52" s="169"/>
      <c r="CB52" s="169"/>
      <c r="CC52" s="169"/>
      <c r="CD52" s="169"/>
      <c r="CE52" s="169"/>
      <c r="CF52" s="169"/>
    </row>
    <row r="53" customFormat="false" ht="12.75" hidden="true" customHeight="false" outlineLevel="0" collapsed="false">
      <c r="A53" s="3" t="n">
        <v>6</v>
      </c>
      <c r="B53" s="3" t="n">
        <v>6.3</v>
      </c>
      <c r="C53" s="3" t="s">
        <v>329</v>
      </c>
      <c r="D53" s="3" t="s">
        <v>245</v>
      </c>
      <c r="E53" s="3" t="n">
        <v>0.453156220787309</v>
      </c>
      <c r="F53" s="3" t="n">
        <v>0.428635988304279</v>
      </c>
      <c r="G53" s="3" t="n">
        <v>0.502857088511923</v>
      </c>
      <c r="H53" s="3" t="n">
        <v>0.036865159326181</v>
      </c>
      <c r="I53" s="3" t="n">
        <v>0.157071355193895</v>
      </c>
      <c r="J53" s="3" t="n">
        <v>0.160588469744756</v>
      </c>
      <c r="K53" s="3" t="n">
        <v>0.091708999684816</v>
      </c>
      <c r="L53" s="3" t="n">
        <v>4.19055243568485E-015</v>
      </c>
      <c r="M53" s="3" t="n">
        <v>0.148177740390035</v>
      </c>
      <c r="N53" s="3" t="n">
        <v>0</v>
      </c>
      <c r="O53" s="3" t="n">
        <v>0.0758455733711509</v>
      </c>
      <c r="P53" s="3" t="n">
        <v>0</v>
      </c>
      <c r="Q53" s="3" t="n">
        <v>0.131849065197575</v>
      </c>
      <c r="R53" s="3" t="n">
        <v>1.45164994607753E-014</v>
      </c>
      <c r="S53" s="3" t="n">
        <v>0.0857005477972691</v>
      </c>
      <c r="T53" s="168" t="n">
        <v>0</v>
      </c>
      <c r="U53" s="3" t="n">
        <v>0.158665115276802</v>
      </c>
      <c r="V53" s="168" t="n">
        <v>0</v>
      </c>
      <c r="W53" s="3" t="n">
        <v>0.000646633174465113</v>
      </c>
      <c r="X53" s="168" t="n">
        <v>0.00623243634465406</v>
      </c>
      <c r="Y53" s="3" t="n">
        <v>0.000553039268768503</v>
      </c>
      <c r="Z53" s="3" t="n">
        <v>0.0149530398724036</v>
      </c>
      <c r="AA53" s="3" t="n">
        <v>0.00104390893069255</v>
      </c>
      <c r="AB53" s="3" t="n">
        <v>0.00487197316059236</v>
      </c>
      <c r="AC53" s="3" t="n">
        <v>0.135113005027406</v>
      </c>
      <c r="AD53" s="3" t="n">
        <v>0.0677595286157738</v>
      </c>
      <c r="AE53" s="168" t="n">
        <v>0.289477773610505</v>
      </c>
      <c r="AF53" s="3" t="n">
        <v>0.0656366795597006</v>
      </c>
      <c r="AG53" s="3" t="n">
        <v>0</v>
      </c>
      <c r="AH53" s="168" t="n">
        <v>0.00200310651434873</v>
      </c>
      <c r="AI53" s="168" t="n">
        <v>0.0165785459429725</v>
      </c>
      <c r="AJ53" s="168" t="n">
        <v>0.428635988304279</v>
      </c>
      <c r="AK53" s="3" t="n">
        <v>0.0424626135193227</v>
      </c>
      <c r="AL53" s="3" t="n">
        <v>0.000131383165709215</v>
      </c>
      <c r="AM53" s="3" t="n">
        <v>0.000274213803709395</v>
      </c>
      <c r="AN53" s="168" t="n">
        <v>0.0106572990523913</v>
      </c>
      <c r="AO53" s="168" t="n">
        <v>0.00174872466249472</v>
      </c>
      <c r="AP53" s="168" t="n">
        <v>0.00231714363442068</v>
      </c>
      <c r="AQ53" s="3" t="n">
        <v>0.308655821823211</v>
      </c>
      <c r="AR53" s="3" t="n">
        <v>0.0423911182657263</v>
      </c>
      <c r="AS53" s="3" t="n">
        <v>0.0560110142574205</v>
      </c>
      <c r="AT53" s="3" t="n">
        <v>8.92635565970852E-005</v>
      </c>
      <c r="AU53" s="3" t="n">
        <v>0.000537649518940158</v>
      </c>
      <c r="AV53" s="3" t="n">
        <v>7.8428470134389E-005</v>
      </c>
      <c r="AW53" s="3" t="n">
        <v>0.000647250338807996</v>
      </c>
      <c r="AX53" s="168" t="n">
        <v>0.000939622178771533</v>
      </c>
      <c r="AY53" s="3" t="n">
        <v>0.00208063680385749</v>
      </c>
      <c r="AZ53" s="3" t="n">
        <v>0.000400442778552146</v>
      </c>
      <c r="BA53" s="3" t="n">
        <v>0.000373387597088388</v>
      </c>
      <c r="BB53" s="3" t="n">
        <v>0.000476466623462116</v>
      </c>
      <c r="BC53" s="3" t="n">
        <v>0.000431843392821155</v>
      </c>
      <c r="BD53" s="3" t="n">
        <v>0.00825325482260218</v>
      </c>
      <c r="BE53" s="3" t="n">
        <v>0.0101205629701951</v>
      </c>
      <c r="BF53" s="3" t="n">
        <v>0.00970907135672956</v>
      </c>
      <c r="BG53" s="3" t="n">
        <v>0.00726913665862775</v>
      </c>
      <c r="BH53" s="3" t="n">
        <v>0.0115585169142098</v>
      </c>
      <c r="BI53" s="168" t="n">
        <v>0.00788705001002454</v>
      </c>
      <c r="BJ53" s="168" t="n">
        <v>0.199694083620163</v>
      </c>
      <c r="BK53" s="168" t="n">
        <v>0.182520979145726</v>
      </c>
      <c r="BL53" s="168" t="n">
        <v>0.000103596029456056</v>
      </c>
      <c r="BM53" s="168" t="n">
        <v>0.000114990328516465</v>
      </c>
      <c r="BN53" s="168" t="n">
        <v>9.5700820042219E-005</v>
      </c>
      <c r="BO53" s="168" t="n">
        <v>9.77786138103828E-005</v>
      </c>
      <c r="BP53" s="168" t="n">
        <v>8.22334434488139E-006</v>
      </c>
      <c r="BQ53" s="168" t="n">
        <v>3.34266233203632E-006</v>
      </c>
      <c r="BR53" s="168" t="n">
        <v>2.42822221883788E-006</v>
      </c>
      <c r="BS53" s="168" t="n">
        <v>0.000726982845925002</v>
      </c>
      <c r="BT53" s="168" t="n">
        <v>0.000805083861103625</v>
      </c>
      <c r="BU53" s="168" t="n">
        <v>0.000675433498234643</v>
      </c>
      <c r="BV53" s="168" t="n">
        <v>0.000659448185047088</v>
      </c>
      <c r="BW53" s="3" t="n">
        <v>2.6997052291215E-028</v>
      </c>
      <c r="BX53" s="3" t="n">
        <v>1.72478140551591E-028</v>
      </c>
      <c r="BY53" s="3" t="n">
        <v>1.32536945083737E-028</v>
      </c>
      <c r="BZ53" s="169"/>
      <c r="CA53" s="169"/>
      <c r="CB53" s="169"/>
      <c r="CC53" s="169"/>
      <c r="CD53" s="169"/>
      <c r="CE53" s="169"/>
      <c r="CF53" s="169"/>
    </row>
    <row r="54" customFormat="false" ht="12.75" hidden="true" customHeight="false" outlineLevel="0" collapsed="false">
      <c r="A54" s="3" t="n">
        <v>6</v>
      </c>
      <c r="B54" s="3" t="n">
        <v>6.3</v>
      </c>
      <c r="C54" s="3" t="s">
        <v>330</v>
      </c>
      <c r="D54" s="3" t="s">
        <v>245</v>
      </c>
      <c r="E54" s="3" t="n">
        <v>0.0564653399282256</v>
      </c>
      <c r="F54" s="3" t="n">
        <v>0.0406557387699065</v>
      </c>
      <c r="G54" s="3" t="n">
        <v>0.0498049468983617</v>
      </c>
      <c r="H54" s="3" t="n">
        <v>0.0480962952882754</v>
      </c>
      <c r="I54" s="3" t="n">
        <v>0.0396512692957922</v>
      </c>
      <c r="J54" s="3" t="n">
        <v>0.0676743877104891</v>
      </c>
      <c r="K54" s="3" t="n">
        <v>0.120709617101822</v>
      </c>
      <c r="L54" s="3" t="n">
        <v>3.62912486519383E-015</v>
      </c>
      <c r="M54" s="3" t="n">
        <v>0.210396196359992</v>
      </c>
      <c r="N54" s="3" t="n">
        <v>0</v>
      </c>
      <c r="O54" s="3" t="n">
        <v>0.120614604674851</v>
      </c>
      <c r="P54" s="3" t="n">
        <v>0</v>
      </c>
      <c r="Q54" s="3" t="n">
        <v>0.213218487730651</v>
      </c>
      <c r="R54" s="3" t="n">
        <v>1.45164994607753E-014</v>
      </c>
      <c r="S54" s="3" t="n">
        <v>0.126787689522655</v>
      </c>
      <c r="T54" s="3" t="n">
        <v>0</v>
      </c>
      <c r="U54" s="3" t="n">
        <v>0.214147277519079</v>
      </c>
      <c r="V54" s="3" t="n">
        <v>0</v>
      </c>
      <c r="W54" s="3" t="n">
        <v>0.000197472753578335</v>
      </c>
      <c r="X54" s="3" t="n">
        <v>0.00798542310287624</v>
      </c>
      <c r="Y54" s="3" t="n">
        <v>0.000813141419881892</v>
      </c>
      <c r="Z54" s="3" t="n">
        <v>0.0215073596600927</v>
      </c>
      <c r="AA54" s="3" t="n">
        <v>0.00079559364473091</v>
      </c>
      <c r="AB54" s="3" t="n">
        <v>0.0102201128457683</v>
      </c>
      <c r="AC54" s="3" t="n">
        <v>0.0961024322747865</v>
      </c>
      <c r="AD54" s="3" t="n">
        <v>0.0521814508482691</v>
      </c>
      <c r="AE54" s="3" t="n">
        <v>0.0332506045275722</v>
      </c>
      <c r="AF54" s="3" t="n">
        <v>0.0974127761127891</v>
      </c>
      <c r="AG54" s="3" t="n">
        <v>0</v>
      </c>
      <c r="AH54" s="3" t="n">
        <v>0.00122768935066625</v>
      </c>
      <c r="AI54" s="3" t="n">
        <v>0.0166440392678207</v>
      </c>
      <c r="AJ54" s="3" t="n">
        <v>0.0406557387699065</v>
      </c>
      <c r="AK54" s="3" t="n">
        <v>0.00685237322265814</v>
      </c>
      <c r="AL54" s="3" t="n">
        <v>0.000178214310815806</v>
      </c>
      <c r="AM54" s="3" t="n">
        <v>0.00012294914702295</v>
      </c>
      <c r="AN54" s="3" t="n">
        <v>0.000367958036359765</v>
      </c>
      <c r="AO54" s="3" t="n">
        <v>0.000635330982324524</v>
      </c>
      <c r="AP54" s="3" t="n">
        <v>0.00156009338395708</v>
      </c>
      <c r="AQ54" s="3" t="n">
        <v>0.0164824399661926</v>
      </c>
      <c r="AR54" s="3" t="n">
        <v>0.0155518019476476</v>
      </c>
      <c r="AS54" s="3" t="n">
        <v>0.0377775885156526</v>
      </c>
      <c r="AT54" s="3" t="n">
        <v>6.41378384335805E-005</v>
      </c>
      <c r="AU54" s="3" t="n">
        <v>0.000783379298388752</v>
      </c>
      <c r="AV54" s="3" t="n">
        <v>4.80448695781178E-005</v>
      </c>
      <c r="AW54" s="3" t="n">
        <v>0.000143527920830075</v>
      </c>
      <c r="AX54" s="3" t="n">
        <v>0.000506292679289064</v>
      </c>
      <c r="AY54" s="3" t="n">
        <v>0.000764898748059168</v>
      </c>
      <c r="AZ54" s="3" t="n">
        <v>0.000383179830924327</v>
      </c>
      <c r="BA54" s="3" t="n">
        <v>0.000387251085470997</v>
      </c>
      <c r="BB54" s="3" t="n">
        <v>0.000533268839998538</v>
      </c>
      <c r="BC54" s="3" t="n">
        <v>0.000449542508817887</v>
      </c>
      <c r="BD54" s="3" t="n">
        <v>0.00100308246801812</v>
      </c>
      <c r="BE54" s="3" t="n">
        <v>0.00168744240676171</v>
      </c>
      <c r="BF54" s="3" t="n">
        <v>0.00935818795643654</v>
      </c>
      <c r="BG54" s="3" t="n">
        <v>0.00811648099314775</v>
      </c>
      <c r="BH54" s="3" t="n">
        <v>0.0129686778109273</v>
      </c>
      <c r="BI54" s="3" t="n">
        <v>0.00813016314758472</v>
      </c>
      <c r="BJ54" s="168" t="n">
        <v>0.0249436158857391</v>
      </c>
      <c r="BK54" s="168" t="n">
        <v>0.0304676703238278</v>
      </c>
      <c r="BL54" s="168" t="n">
        <v>6.76988937692657E-005</v>
      </c>
      <c r="BM54" s="168" t="n">
        <v>5.42106512609497E-005</v>
      </c>
      <c r="BN54" s="3" t="n">
        <v>6.21895186665326E-005</v>
      </c>
      <c r="BO54" s="3" t="n">
        <v>5.09034180679036E-005</v>
      </c>
      <c r="BP54" s="3" t="n">
        <v>3.28365268431846E-006</v>
      </c>
      <c r="BQ54" s="3" t="n">
        <v>2.0075913733424E-006</v>
      </c>
      <c r="BR54" s="3" t="n">
        <v>1.40264618548894E-006</v>
      </c>
      <c r="BS54" s="3" t="n">
        <v>0.000475075494935335</v>
      </c>
      <c r="BT54" s="3" t="n">
        <v>0.000379543954295538</v>
      </c>
      <c r="BU54" s="3" t="n">
        <v>0.000438917283431015</v>
      </c>
      <c r="BV54" s="3" t="n">
        <v>0.000343308323827734</v>
      </c>
      <c r="BW54" s="3" t="n">
        <v>8.0444731912808E-029</v>
      </c>
      <c r="BX54" s="3" t="n">
        <v>1.01577449777379E-028</v>
      </c>
      <c r="BY54" s="3" t="n">
        <v>7.35915721303742E-029</v>
      </c>
      <c r="BZ54" s="169"/>
      <c r="CA54" s="169"/>
      <c r="CB54" s="169"/>
      <c r="CC54" s="169"/>
      <c r="CD54" s="169"/>
      <c r="CE54" s="169"/>
      <c r="CF54" s="169"/>
    </row>
    <row r="55" customFormat="false" ht="12.75" hidden="true" customHeight="false" outlineLevel="0" collapsed="false">
      <c r="A55" s="3" t="n">
        <v>6</v>
      </c>
      <c r="B55" s="3" t="n">
        <v>6.4</v>
      </c>
      <c r="C55" s="3" t="s">
        <v>331</v>
      </c>
      <c r="D55" s="3" t="s">
        <v>245</v>
      </c>
      <c r="E55" s="3" t="n">
        <v>1.83788949915094</v>
      </c>
      <c r="F55" s="3" t="n">
        <v>1.82030890761946</v>
      </c>
      <c r="G55" s="3" t="n">
        <v>0.430650077970633</v>
      </c>
      <c r="H55" s="3" t="n">
        <v>0.035724240142121</v>
      </c>
      <c r="I55" s="168" t="n">
        <v>2.17304322361939</v>
      </c>
      <c r="J55" s="3" t="n">
        <v>2.18830470424918</v>
      </c>
      <c r="K55" s="3" t="n">
        <v>0.124910245965252</v>
      </c>
      <c r="L55" s="3" t="n">
        <v>3.62912486519383E-015</v>
      </c>
      <c r="M55" s="3" t="n">
        <v>0.253368778895195</v>
      </c>
      <c r="N55" s="3" t="n">
        <v>0</v>
      </c>
      <c r="O55" s="168" t="n">
        <v>0.167870541837054</v>
      </c>
      <c r="P55" s="3" t="n">
        <v>0</v>
      </c>
      <c r="Q55" s="3" t="n">
        <v>0.292902048973287</v>
      </c>
      <c r="R55" s="3" t="n">
        <v>1.45164994607753E-014</v>
      </c>
      <c r="S55" s="3" t="n">
        <v>0.146004539652973</v>
      </c>
      <c r="T55" s="168" t="n">
        <v>0</v>
      </c>
      <c r="U55" s="3" t="n">
        <v>0.213139572273294</v>
      </c>
      <c r="V55" s="168" t="n">
        <v>0</v>
      </c>
      <c r="W55" s="3" t="n">
        <v>0.00237887707523065</v>
      </c>
      <c r="X55" s="168" t="n">
        <v>0.0101208639630503</v>
      </c>
      <c r="Y55" s="3" t="n">
        <v>0.00329632424584225</v>
      </c>
      <c r="Z55" s="3" t="n">
        <v>0.0117850773369202</v>
      </c>
      <c r="AA55" s="3" t="n">
        <v>0.00567358683266193</v>
      </c>
      <c r="AB55" s="3" t="n">
        <v>0.00945055765561584</v>
      </c>
      <c r="AC55" s="3" t="n">
        <v>0.280073021575606</v>
      </c>
      <c r="AD55" s="3" t="n">
        <v>0.297832882771222</v>
      </c>
      <c r="AE55" s="3" t="n">
        <v>1.27545165022097</v>
      </c>
      <c r="AF55" s="3" t="n">
        <v>0.113758090621657</v>
      </c>
      <c r="AG55" s="3" t="n">
        <v>0</v>
      </c>
      <c r="AH55" s="3" t="n">
        <v>0.0106811125679527</v>
      </c>
      <c r="AI55" s="168" t="n">
        <v>0.0347396500617602</v>
      </c>
      <c r="AJ55" s="168" t="n">
        <v>1.82030890761946</v>
      </c>
      <c r="AK55" s="168" t="n">
        <v>0.0023675245495561</v>
      </c>
      <c r="AL55" s="168" t="n">
        <v>0.000556133071084011</v>
      </c>
      <c r="AM55" s="3" t="n">
        <v>0.00048516412880996</v>
      </c>
      <c r="AN55" s="3" t="n">
        <v>0.00589814509461247</v>
      </c>
      <c r="AO55" s="3" t="n">
        <v>0.00688787723378934</v>
      </c>
      <c r="AP55" s="3" t="n">
        <v>0.00606998095634263</v>
      </c>
      <c r="AQ55" s="168" t="n">
        <v>0.139097870093926</v>
      </c>
      <c r="AR55" s="168" t="n">
        <v>0.166219270038082</v>
      </c>
      <c r="AS55" s="168" t="n">
        <v>0.146504758936184</v>
      </c>
      <c r="AT55" s="168" t="n">
        <v>0.000437103184514022</v>
      </c>
      <c r="AU55" s="168" t="n">
        <v>0.00647481645977368</v>
      </c>
      <c r="AV55" s="168" t="n">
        <v>0.000266808744261769</v>
      </c>
      <c r="AW55" s="168" t="n">
        <v>0.00861985883750352</v>
      </c>
      <c r="AX55" s="168" t="n">
        <v>0.00149891701830134</v>
      </c>
      <c r="AY55" s="168" t="n">
        <v>0.00376211108103047</v>
      </c>
      <c r="AZ55" s="168" t="n">
        <v>0.00325257287700829</v>
      </c>
      <c r="BA55" s="3" t="n">
        <v>0.00246261098444428</v>
      </c>
      <c r="BB55" s="3" t="n">
        <v>0.0013311967525859</v>
      </c>
      <c r="BC55" s="3" t="n">
        <v>0.00168581358567725</v>
      </c>
      <c r="BD55" s="3" t="n">
        <v>0.00973166909225473</v>
      </c>
      <c r="BE55" s="3" t="n">
        <v>0.0121044843856281</v>
      </c>
      <c r="BF55" s="3" t="n">
        <v>0.0771763648287561</v>
      </c>
      <c r="BG55" s="3" t="n">
        <v>0.0707416460812715</v>
      </c>
      <c r="BH55" s="3" t="n">
        <v>0.0327829849966651</v>
      </c>
      <c r="BI55" s="168" t="n">
        <v>0.0625033920927831</v>
      </c>
      <c r="BJ55" s="168" t="n">
        <v>0.230611561740491</v>
      </c>
      <c r="BK55" s="168" t="n">
        <v>0.222171459568656</v>
      </c>
      <c r="BL55" s="168" t="n">
        <v>0.00165633059466963</v>
      </c>
      <c r="BM55" s="168" t="n">
        <v>0.000204726706306447</v>
      </c>
      <c r="BN55" s="168" t="n">
        <v>0.000257543349945074</v>
      </c>
      <c r="BO55" s="168" t="n">
        <v>0.000264501937062832</v>
      </c>
      <c r="BP55" s="168" t="n">
        <v>0.000711589407695668</v>
      </c>
      <c r="BQ55" s="168" t="n">
        <v>0.000685508841738598</v>
      </c>
      <c r="BR55" s="168" t="n">
        <v>0.000647779605512919</v>
      </c>
      <c r="BS55" s="168" t="n">
        <v>0.0115816108259472</v>
      </c>
      <c r="BT55" s="168" t="n">
        <v>0.0014283350681182</v>
      </c>
      <c r="BU55" s="168" t="n">
        <v>0.001811290109698</v>
      </c>
      <c r="BV55" s="168" t="n">
        <v>0.00177725910236784</v>
      </c>
      <c r="BW55" s="3" t="n">
        <v>0.00488724076786686</v>
      </c>
      <c r="BX55" s="3" t="n">
        <v>0.00447472815637321</v>
      </c>
      <c r="BY55" s="3" t="n">
        <v>0.0043400730511839</v>
      </c>
      <c r="BZ55" s="169"/>
      <c r="CA55" s="169"/>
      <c r="CB55" s="169"/>
      <c r="CC55" s="169"/>
      <c r="CD55" s="169"/>
      <c r="CE55" s="169"/>
      <c r="CF55" s="169"/>
    </row>
    <row r="56" customFormat="false" ht="12.75" hidden="true" customHeight="false" outlineLevel="0" collapsed="false">
      <c r="A56" s="3" t="n">
        <v>6</v>
      </c>
      <c r="B56" s="3" t="n">
        <v>6.4</v>
      </c>
      <c r="C56" s="3" t="s">
        <v>332</v>
      </c>
      <c r="D56" s="3" t="s">
        <v>245</v>
      </c>
      <c r="E56" s="3" t="n">
        <v>0.477167212874978</v>
      </c>
      <c r="F56" s="3" t="n">
        <v>0.432385027411557</v>
      </c>
      <c r="G56" s="3" t="n">
        <v>0.209732831711236</v>
      </c>
      <c r="H56" s="3" t="n">
        <v>0.0893179905704112</v>
      </c>
      <c r="I56" s="3" t="n">
        <v>0.455936859798966</v>
      </c>
      <c r="J56" s="3" t="n">
        <v>0.484732715713058</v>
      </c>
      <c r="K56" s="3" t="n">
        <v>0.107080876460837</v>
      </c>
      <c r="L56" s="3" t="n">
        <v>4.19055243568485E-015</v>
      </c>
      <c r="M56" s="3" t="n">
        <v>0.170841592377954</v>
      </c>
      <c r="N56" s="3" t="n">
        <v>0</v>
      </c>
      <c r="O56" s="3" t="n">
        <v>0.0878713659277015</v>
      </c>
      <c r="P56" s="3" t="n">
        <v>0</v>
      </c>
      <c r="Q56" s="3" t="n">
        <v>0.150141148421338</v>
      </c>
      <c r="R56" s="3" t="n">
        <v>1.02647152078051E-014</v>
      </c>
      <c r="S56" s="3" t="n">
        <v>0.0941513691358021</v>
      </c>
      <c r="T56" s="3" t="n">
        <v>0</v>
      </c>
      <c r="U56" s="3" t="n">
        <v>0.180111065635875</v>
      </c>
      <c r="V56" s="3" t="n">
        <v>0</v>
      </c>
      <c r="W56" s="3" t="n">
        <v>0.000671045016254883</v>
      </c>
      <c r="X56" s="3" t="n">
        <v>0.0102283053772598</v>
      </c>
      <c r="Y56" s="3" t="n">
        <v>0.00100320002015577</v>
      </c>
      <c r="Z56" s="3" t="n">
        <v>0.0124490800221298</v>
      </c>
      <c r="AA56" s="3" t="n">
        <v>0.00159961300426255</v>
      </c>
      <c r="AB56" s="3" t="n">
        <v>0.00720788272443676</v>
      </c>
      <c r="AC56" s="3" t="n">
        <v>0.147514146116051</v>
      </c>
      <c r="AD56" s="3" t="n">
        <v>0.112989184833731</v>
      </c>
      <c r="AE56" s="3" t="n">
        <v>0.324895039549579</v>
      </c>
      <c r="AF56" s="3" t="n">
        <v>0.0797958358399154</v>
      </c>
      <c r="AG56" s="3" t="n">
        <v>0</v>
      </c>
      <c r="AH56" s="3" t="n">
        <v>0.00299308176608614</v>
      </c>
      <c r="AI56" s="3" t="n">
        <v>0.0113678000428962</v>
      </c>
      <c r="AJ56" s="3" t="n">
        <v>0.432385027411557</v>
      </c>
      <c r="AK56" s="3" t="n">
        <v>0.00221684250582889</v>
      </c>
      <c r="AL56" s="3" t="n">
        <v>0.000371850045746795</v>
      </c>
      <c r="AM56" s="3" t="n">
        <v>0.000447824467423608</v>
      </c>
      <c r="AN56" s="3" t="n">
        <v>0.00324679865535357</v>
      </c>
      <c r="AO56" s="3" t="n">
        <v>0.00287242285243461</v>
      </c>
      <c r="AP56" s="3" t="n">
        <v>0.00303066847134229</v>
      </c>
      <c r="AQ56" s="3" t="n">
        <v>0.0757999021462699</v>
      </c>
      <c r="AR56" s="3" t="n">
        <v>0.0691449223381743</v>
      </c>
      <c r="AS56" s="3" t="n">
        <v>0.0728904453056935</v>
      </c>
      <c r="AT56" s="3" t="n">
        <v>0.000348441143014442</v>
      </c>
      <c r="AU56" s="3" t="n">
        <v>0.00171068678699134</v>
      </c>
      <c r="AV56" s="3" t="n">
        <v>0.000330386294655095</v>
      </c>
      <c r="AW56" s="3" t="n">
        <v>0.00067662871709438</v>
      </c>
      <c r="AX56" s="3" t="n">
        <v>0.000350769034625426</v>
      </c>
      <c r="AY56" s="3" t="n">
        <v>0.00175277474796445</v>
      </c>
      <c r="AZ56" s="3" t="n">
        <v>0.00114080826040918</v>
      </c>
      <c r="BA56" s="3" t="n">
        <v>0.000694489176560612</v>
      </c>
      <c r="BB56" s="3" t="n">
        <v>0.000500121142332308</v>
      </c>
      <c r="BC56" s="3" t="n">
        <v>0.000501218227526881</v>
      </c>
      <c r="BD56" s="3" t="n">
        <v>0.00303279855453547</v>
      </c>
      <c r="BE56" s="3" t="n">
        <v>0.00387386143992766</v>
      </c>
      <c r="BF56" s="3" t="n">
        <v>0.0266978548349907</v>
      </c>
      <c r="BG56" s="3" t="n">
        <v>0.0181895669270311</v>
      </c>
      <c r="BH56" s="3" t="n">
        <v>0.0127767738136681</v>
      </c>
      <c r="BI56" s="3" t="n">
        <v>0.0110369104199747</v>
      </c>
      <c r="BJ56" s="168" t="n">
        <v>0.0725368960199219</v>
      </c>
      <c r="BK56" s="168" t="n">
        <v>0.0682156318372501</v>
      </c>
      <c r="BL56" s="168" t="n">
        <v>0.000527894767112809</v>
      </c>
      <c r="BM56" s="168" t="n">
        <v>0.000189590535902796</v>
      </c>
      <c r="BN56" s="168" t="n">
        <v>8.60035371701202E-005</v>
      </c>
      <c r="BO56" s="168" t="n">
        <v>0.000187416470089349</v>
      </c>
      <c r="BP56" s="3" t="n">
        <v>0.000234039933263798</v>
      </c>
      <c r="BQ56" s="168" t="n">
        <v>0.00116629723928412</v>
      </c>
      <c r="BR56" s="168" t="n">
        <v>0.000258236945317861</v>
      </c>
      <c r="BS56" s="168" t="n">
        <v>0.00369134604207381</v>
      </c>
      <c r="BT56" s="168" t="n">
        <v>0.00132272325660719</v>
      </c>
      <c r="BU56" s="168" t="n">
        <v>0.000604867955670218</v>
      </c>
      <c r="BV56" s="168" t="n">
        <v>0.00125930129225036</v>
      </c>
      <c r="BW56" s="3" t="n">
        <v>0.00160746260600491</v>
      </c>
      <c r="BX56" s="3" t="n">
        <v>0.00761289932929001</v>
      </c>
      <c r="BY56" s="3" t="n">
        <v>0.0017300168029851</v>
      </c>
      <c r="BZ56" s="169"/>
      <c r="CA56" s="169"/>
      <c r="CB56" s="169"/>
      <c r="CC56" s="169"/>
      <c r="CD56" s="169"/>
      <c r="CE56" s="169"/>
      <c r="CF56" s="169"/>
    </row>
    <row r="57" customFormat="false" ht="12.75" hidden="true" customHeight="false" outlineLevel="0" collapsed="false">
      <c r="A57" s="3" t="n">
        <v>6</v>
      </c>
      <c r="B57" s="3" t="n">
        <v>6.4</v>
      </c>
      <c r="C57" s="3" t="s">
        <v>333</v>
      </c>
      <c r="D57" s="3" t="s">
        <v>245</v>
      </c>
      <c r="E57" s="3" t="n">
        <v>0.177315804956148</v>
      </c>
      <c r="F57" s="3" t="n">
        <v>0.126936979867858</v>
      </c>
      <c r="G57" s="3" t="n">
        <v>0.13201664203571</v>
      </c>
      <c r="H57" s="3" t="n">
        <v>0.0762663089842886</v>
      </c>
      <c r="I57" s="3" t="n">
        <v>0.130226079640018</v>
      </c>
      <c r="J57" s="3" t="n">
        <v>0.154954019520037</v>
      </c>
      <c r="K57" s="3" t="n">
        <v>0.101697403498127</v>
      </c>
      <c r="L57" s="3" t="n">
        <v>4.38258464004065E-015</v>
      </c>
      <c r="M57" s="3" t="n">
        <v>0.176463716578903</v>
      </c>
      <c r="N57" s="3" t="n">
        <v>0</v>
      </c>
      <c r="O57" s="3" t="n">
        <v>0.102548878681543</v>
      </c>
      <c r="P57" s="3" t="n">
        <v>0</v>
      </c>
      <c r="Q57" s="3" t="n">
        <v>0.16516956125295</v>
      </c>
      <c r="R57" s="3" t="n">
        <v>5.92633608838112E-015</v>
      </c>
      <c r="S57" s="3" t="n">
        <v>0.085897027698244</v>
      </c>
      <c r="T57" s="3" t="n">
        <v>0</v>
      </c>
      <c r="U57" s="3" t="n">
        <v>0.162186258214513</v>
      </c>
      <c r="V57" s="3" t="n">
        <v>0</v>
      </c>
      <c r="W57" s="3" t="n">
        <v>0.000283875503943421</v>
      </c>
      <c r="X57" s="3" t="n">
        <v>0.0138350258021524</v>
      </c>
      <c r="Y57" s="3" t="n">
        <v>0.000762240939191593</v>
      </c>
      <c r="Z57" s="3" t="n">
        <v>0.0179976746795432</v>
      </c>
      <c r="AA57" s="3" t="n">
        <v>0.000996578993538537</v>
      </c>
      <c r="AB57" s="3" t="n">
        <v>0.00791130357654323</v>
      </c>
      <c r="AC57" s="3" t="n">
        <v>0.0991345608142183</v>
      </c>
      <c r="AD57" s="3" t="n">
        <v>0.12497263720682</v>
      </c>
      <c r="AE57" s="3" t="n">
        <v>0.122679902748588</v>
      </c>
      <c r="AF57" s="3" t="n">
        <v>0.0683616739603862</v>
      </c>
      <c r="AG57" s="3" t="n">
        <v>0</v>
      </c>
      <c r="AH57" s="3" t="n">
        <v>0.00177543808072209</v>
      </c>
      <c r="AI57" s="3" t="n">
        <v>0.0101475610528857</v>
      </c>
      <c r="AJ57" s="3" t="n">
        <v>0.126936979867858</v>
      </c>
      <c r="AK57" s="3" t="n">
        <v>0.00278080627969968</v>
      </c>
      <c r="AL57" s="3" t="n">
        <v>0.000244205128789859</v>
      </c>
      <c r="AM57" s="3" t="n">
        <v>0.000232742798266754</v>
      </c>
      <c r="AN57" s="3" t="n">
        <v>0.00142454515759049</v>
      </c>
      <c r="AO57" s="3" t="n">
        <v>0.00272999883797818</v>
      </c>
      <c r="AP57" s="3" t="n">
        <v>0.00195986618603767</v>
      </c>
      <c r="AQ57" s="3" t="n">
        <v>0.0311509881973901</v>
      </c>
      <c r="AR57" s="3" t="n">
        <v>0.065823659499498</v>
      </c>
      <c r="AS57" s="3" t="n">
        <v>0.0471882644474017</v>
      </c>
      <c r="AT57" s="3" t="n">
        <v>0.000171045333214718</v>
      </c>
      <c r="AU57" s="3" t="n">
        <v>0.00117816630355769</v>
      </c>
      <c r="AV57" s="3" t="n">
        <v>0.000144084237640483</v>
      </c>
      <c r="AW57" s="3" t="n">
        <v>0.00058925132596061</v>
      </c>
      <c r="AX57" s="3" t="n">
        <v>0.000374827004638214</v>
      </c>
      <c r="AY57" s="3" t="n">
        <v>0.00110051089321656</v>
      </c>
      <c r="AZ57" s="3" t="n">
        <v>0.000514939577590604</v>
      </c>
      <c r="BA57" s="3" t="n">
        <v>0.000444943507253945</v>
      </c>
      <c r="BB57" s="3" t="n">
        <v>0.000487581719223036</v>
      </c>
      <c r="BC57" s="3" t="n">
        <v>0.000307761262995426</v>
      </c>
      <c r="BD57" s="3" t="n">
        <v>0.00429439113957581</v>
      </c>
      <c r="BE57" s="3" t="n">
        <v>0.00494244552035485</v>
      </c>
      <c r="BF57" s="3" t="n">
        <v>0.0120880417847083</v>
      </c>
      <c r="BG57" s="3" t="n">
        <v>0.00798051041470591</v>
      </c>
      <c r="BH57" s="3" t="n">
        <v>0.0120677426141365</v>
      </c>
      <c r="BI57" s="3" t="n">
        <v>0.00634419637048542</v>
      </c>
      <c r="BJ57" s="168" t="n">
        <v>0.102491818759207</v>
      </c>
      <c r="BK57" s="168" t="n">
        <v>0.0885794675869025</v>
      </c>
      <c r="BL57" s="168" t="n">
        <v>0.000241619167946443</v>
      </c>
      <c r="BM57" s="168" t="n">
        <v>8.97009072065802E-005</v>
      </c>
      <c r="BN57" s="168" t="n">
        <v>5.60716874229086E-005</v>
      </c>
      <c r="BO57" s="168" t="n">
        <v>7.65402267077262E-005</v>
      </c>
      <c r="BP57" s="3" t="n">
        <v>0.000425414922437175</v>
      </c>
      <c r="BQ57" s="168" t="n">
        <v>0.000288626997516767</v>
      </c>
      <c r="BR57" s="168" t="n">
        <v>8.88810339071137E-005</v>
      </c>
      <c r="BS57" s="168" t="n">
        <v>0.00168939832694719</v>
      </c>
      <c r="BT57" s="168" t="n">
        <v>0.000625803611670336</v>
      </c>
      <c r="BU57" s="168" t="n">
        <v>0.000394355968453135</v>
      </c>
      <c r="BV57" s="168" t="n">
        <v>0.000514282853322125</v>
      </c>
      <c r="BW57" s="3" t="n">
        <v>0.00292184602491901</v>
      </c>
      <c r="BX57" s="3" t="n">
        <v>0.00188381303762511</v>
      </c>
      <c r="BY57" s="3" t="n">
        <v>0.000595426358361233</v>
      </c>
      <c r="BZ57" s="169"/>
      <c r="CA57" s="169"/>
      <c r="CB57" s="169"/>
      <c r="CC57" s="169"/>
      <c r="CD57" s="169"/>
      <c r="CE57" s="169"/>
      <c r="CF57" s="169"/>
    </row>
    <row r="58" customFormat="false" ht="12.75" hidden="false" customHeight="false" outlineLevel="0" collapsed="false">
      <c r="A58" s="3" t="n">
        <v>5</v>
      </c>
      <c r="B58" s="3" t="n">
        <v>5.1</v>
      </c>
      <c r="C58" s="3" t="s">
        <v>244</v>
      </c>
      <c r="D58" s="3" t="s">
        <v>245</v>
      </c>
      <c r="E58" s="3" t="n">
        <v>0.0492731233104901</v>
      </c>
      <c r="F58" s="3" t="n">
        <v>0.0242629893621339</v>
      </c>
      <c r="G58" s="3" t="n">
        <v>0.00553873033583947</v>
      </c>
      <c r="H58" s="3" t="n">
        <v>0.0272064695168587</v>
      </c>
      <c r="I58" s="3" t="n">
        <v>0.0196174525958869</v>
      </c>
      <c r="J58" s="3" t="n">
        <v>0.0438578113237738</v>
      </c>
      <c r="K58" s="3" t="n">
        <v>0.0907438998676793</v>
      </c>
      <c r="L58" s="3" t="n">
        <v>0</v>
      </c>
      <c r="M58" s="3" t="n">
        <v>0.184880098842863</v>
      </c>
      <c r="N58" s="3" t="n">
        <v>0</v>
      </c>
      <c r="O58" s="3" t="n">
        <v>0.116436279528817</v>
      </c>
      <c r="P58" s="3" t="n">
        <v>0</v>
      </c>
      <c r="Q58" s="3" t="n">
        <v>0.188321741852615</v>
      </c>
      <c r="R58" s="3" t="n">
        <v>0.00395122211073165</v>
      </c>
      <c r="S58" s="3" t="n">
        <v>0.0983556219478622</v>
      </c>
      <c r="T58" s="3" t="n">
        <v>0</v>
      </c>
      <c r="U58" s="3" t="n">
        <v>0.158936164511358</v>
      </c>
      <c r="V58" s="3" t="n">
        <v>0.0164578143818728</v>
      </c>
      <c r="W58" s="3" t="n">
        <v>0.000323086814211887</v>
      </c>
      <c r="X58" s="3" t="n">
        <v>0.0196863233039352</v>
      </c>
      <c r="Y58" s="3" t="n">
        <v>0.000330415485207011</v>
      </c>
      <c r="Z58" s="3" t="n">
        <v>0.0465801030862987</v>
      </c>
      <c r="AA58" s="3" t="n">
        <v>0.000236916632253199</v>
      </c>
      <c r="AB58" s="3" t="n">
        <v>0.0411309511181949</v>
      </c>
      <c r="AC58" s="3" t="n">
        <v>0.0106080497346869</v>
      </c>
      <c r="AD58" s="3" t="n">
        <v>0.0205858380655539</v>
      </c>
      <c r="AE58" s="3" t="n">
        <v>0.0337025824050739</v>
      </c>
      <c r="AF58" s="3" t="n">
        <v>0.0468258319689318</v>
      </c>
      <c r="AG58" s="3" t="n">
        <v>0.000358058302008086</v>
      </c>
      <c r="AH58" s="3" t="n">
        <v>2.62910561075567E-005</v>
      </c>
      <c r="AI58" s="3" t="n">
        <v>0.0322218103954928</v>
      </c>
      <c r="AJ58" s="3" t="n">
        <v>0.0242629893621339</v>
      </c>
      <c r="AK58" s="3" t="n">
        <v>0.000294319176755859</v>
      </c>
      <c r="AL58" s="3" t="n">
        <v>8.00569900437184E-005</v>
      </c>
      <c r="AM58" s="3" t="n">
        <v>0.000260772772936248</v>
      </c>
      <c r="AN58" s="168" t="n">
        <v>0</v>
      </c>
      <c r="AO58" s="168" t="n">
        <v>0</v>
      </c>
      <c r="AP58" s="168" t="n">
        <v>0</v>
      </c>
      <c r="AQ58" s="3" t="n">
        <v>2.76206250149918E-007</v>
      </c>
      <c r="AR58" s="3" t="n">
        <v>1.58180056709577E-007</v>
      </c>
      <c r="AS58" s="3" t="n">
        <v>8.58571701681825E-007</v>
      </c>
      <c r="AT58" s="3" t="n">
        <v>0.000400355987886072</v>
      </c>
      <c r="AU58" s="3" t="n">
        <v>0.00546018216121355</v>
      </c>
      <c r="AV58" s="3" t="n">
        <v>0.000404434211476191</v>
      </c>
      <c r="AW58" s="3" t="n">
        <v>0.00645770422352398</v>
      </c>
      <c r="AX58" s="3" t="n">
        <v>0.000402071819176877</v>
      </c>
      <c r="AY58" s="3" t="n">
        <v>0.00602110162867868</v>
      </c>
      <c r="AZ58" s="3" t="n">
        <v>0.000865968118131919</v>
      </c>
      <c r="BA58" s="3" t="n">
        <v>0.000224439145932229</v>
      </c>
      <c r="BB58" s="3" t="n">
        <v>0.000124023089547234</v>
      </c>
      <c r="BC58" s="3" t="n">
        <v>8.73716494621864E-005</v>
      </c>
      <c r="BD58" s="3" t="n">
        <v>0.000808903051299963</v>
      </c>
      <c r="BE58" s="3" t="n">
        <v>8.5598216313913E-005</v>
      </c>
      <c r="BF58" s="3" t="n">
        <v>0.0212841822897409</v>
      </c>
      <c r="BG58" s="3" t="n">
        <v>0.00426970804338191</v>
      </c>
      <c r="BH58" s="3" t="n">
        <v>0.00305417343090742</v>
      </c>
      <c r="BI58" s="168" t="n">
        <v>0.00167856044934971</v>
      </c>
      <c r="BJ58" s="168" t="n">
        <v>0.0198834161333676</v>
      </c>
      <c r="BK58" s="168" t="n">
        <v>0.0015863070241397</v>
      </c>
      <c r="BL58" s="168" t="n">
        <v>1.03125757348509E-007</v>
      </c>
      <c r="BM58" s="168" t="n">
        <v>1.22099014066908E-007</v>
      </c>
      <c r="BN58" s="168" t="n">
        <v>1.49723466470814E-007</v>
      </c>
      <c r="BO58" s="168" t="n">
        <v>6.89745808318247E-008</v>
      </c>
      <c r="BP58" s="168" t="n">
        <v>1.57367011167219E-007</v>
      </c>
      <c r="BQ58" s="168" t="n">
        <v>1.75907165844289E-007</v>
      </c>
      <c r="BR58" s="168" t="n">
        <v>2.76276448331698E-007</v>
      </c>
      <c r="BS58" s="168" t="n">
        <v>4.26885487031929E-032</v>
      </c>
      <c r="BT58" s="168" t="n">
        <v>4.09608214644057E-032</v>
      </c>
      <c r="BU58" s="168" t="n">
        <v>2.49025649386812E-032</v>
      </c>
      <c r="BV58" s="168" t="n">
        <v>7.55852146294561E-033</v>
      </c>
      <c r="BW58" s="3" t="n">
        <v>7.54313913027381E-032</v>
      </c>
      <c r="BX58" s="3" t="n">
        <v>1.87200727359122E-032</v>
      </c>
      <c r="BY58" s="3" t="n">
        <v>2.30534188639645E-032</v>
      </c>
      <c r="BZ58" s="169"/>
      <c r="CA58" s="169"/>
      <c r="CB58" s="169"/>
      <c r="CC58" s="169"/>
      <c r="CD58" s="169"/>
      <c r="CE58" s="169"/>
      <c r="CF58" s="169"/>
    </row>
    <row r="59" customFormat="false" ht="12.75" hidden="false" customHeight="false" outlineLevel="0" collapsed="false">
      <c r="A59" s="3" t="n">
        <v>5</v>
      </c>
      <c r="B59" s="3" t="n">
        <v>5.2</v>
      </c>
      <c r="C59" s="3" t="s">
        <v>244</v>
      </c>
      <c r="D59" s="3" t="s">
        <v>245</v>
      </c>
      <c r="E59" s="3" t="n">
        <v>0.903262617685129</v>
      </c>
      <c r="F59" s="3" t="n">
        <v>0.958425036850574</v>
      </c>
      <c r="G59" s="3" t="n">
        <v>0.919639971753183</v>
      </c>
      <c r="H59" s="3" t="n">
        <v>0.0551625057252709</v>
      </c>
      <c r="I59" s="168" t="n">
        <v>0.0835458753925667</v>
      </c>
      <c r="J59" s="3" t="n">
        <v>0.0735864455327448</v>
      </c>
      <c r="K59" s="3" t="n">
        <v>0.0215573626945116</v>
      </c>
      <c r="L59" s="3" t="n">
        <v>0</v>
      </c>
      <c r="M59" s="3" t="n">
        <v>0.0502602179794683</v>
      </c>
      <c r="N59" s="3" t="n">
        <v>0</v>
      </c>
      <c r="O59" s="168" t="n">
        <v>0.111639007158987</v>
      </c>
      <c r="P59" s="3" t="n">
        <v>0</v>
      </c>
      <c r="Q59" s="3" t="n">
        <v>0.290984669018326</v>
      </c>
      <c r="R59" s="3" t="n">
        <v>0.0376344609265427</v>
      </c>
      <c r="S59" s="3" t="n">
        <v>0.138552526001322</v>
      </c>
      <c r="T59" s="168" t="n">
        <v>0</v>
      </c>
      <c r="U59" s="3" t="n">
        <v>0.0818259986487127</v>
      </c>
      <c r="V59" s="168" t="n">
        <v>0.0100711565790342</v>
      </c>
      <c r="W59" s="3" t="n">
        <v>0.00186389400726944</v>
      </c>
      <c r="X59" s="168" t="n">
        <v>0.115896485647932</v>
      </c>
      <c r="Y59" s="3" t="n">
        <v>0.00178814071606573</v>
      </c>
      <c r="Z59" s="3" t="n">
        <v>0.0799098231476752</v>
      </c>
      <c r="AA59" s="3" t="n">
        <v>0.000281741242433916</v>
      </c>
      <c r="AB59" s="3" t="n">
        <v>0.00276799386884396</v>
      </c>
      <c r="AC59" s="3" t="n">
        <v>0.441203079647578</v>
      </c>
      <c r="AD59" s="168" t="n">
        <v>0.480808207784713</v>
      </c>
      <c r="AE59" s="168" t="n">
        <v>0.0192052700581623</v>
      </c>
      <c r="AF59" s="3" t="n">
        <v>0.0175066300403687</v>
      </c>
      <c r="AG59" s="3" t="n">
        <v>0.00107298404260927</v>
      </c>
      <c r="AH59" s="168" t="n">
        <v>0.00923013202760981</v>
      </c>
      <c r="AI59" s="168" t="n">
        <v>0.0492436914029852</v>
      </c>
      <c r="AJ59" s="168" t="n">
        <v>0.958425036850574</v>
      </c>
      <c r="AK59" s="3" t="n">
        <v>0.000828004169730418</v>
      </c>
      <c r="AL59" s="3" t="n">
        <v>0.00253935550295103</v>
      </c>
      <c r="AM59" s="3" t="n">
        <v>0.00118895420900456</v>
      </c>
      <c r="AN59" s="168" t="n">
        <v>0.0139878889838608</v>
      </c>
      <c r="AO59" s="168" t="n">
        <v>0.0120093393511348</v>
      </c>
      <c r="AP59" s="168" t="n">
        <v>0.013431739053307</v>
      </c>
      <c r="AQ59" s="168" t="n">
        <v>0.34024924430972</v>
      </c>
      <c r="AR59" s="168" t="n">
        <v>0.288360886849807</v>
      </c>
      <c r="AS59" s="168" t="n">
        <v>0.325164373360558</v>
      </c>
      <c r="AT59" s="168" t="n">
        <v>5.95504293368971E-005</v>
      </c>
      <c r="AU59" s="168" t="n">
        <v>0.00702934993616182</v>
      </c>
      <c r="AV59" s="168" t="n">
        <v>7.65755377772576E-005</v>
      </c>
      <c r="AW59" s="168" t="n">
        <v>0.00567845793275338</v>
      </c>
      <c r="AX59" s="168" t="n">
        <v>8.65322925962286E-005</v>
      </c>
      <c r="AY59" s="168" t="n">
        <v>0.00513392485256987</v>
      </c>
      <c r="AZ59" s="168" t="n">
        <v>0.000446486859028812</v>
      </c>
      <c r="BA59" s="168" t="n">
        <v>4.59255870636568E-005</v>
      </c>
      <c r="BB59" s="168" t="n">
        <v>0.000455005244398731</v>
      </c>
      <c r="BC59" s="3" t="n">
        <v>0.000577942827131247</v>
      </c>
      <c r="BD59" s="3" t="n">
        <v>0.00207032111969372</v>
      </c>
      <c r="BE59" s="3" t="n">
        <v>0.00234394921131346</v>
      </c>
      <c r="BF59" s="3" t="n">
        <v>0.0109101645256731</v>
      </c>
      <c r="BG59" s="3" t="n">
        <v>0.00299590349238982</v>
      </c>
      <c r="BH59" s="3" t="n">
        <v>0.011156163749571</v>
      </c>
      <c r="BI59" s="168" t="n">
        <v>0.0121217204593582</v>
      </c>
      <c r="BJ59" s="168" t="n">
        <v>0.0506260910524674</v>
      </c>
      <c r="BK59" s="168" t="n">
        <v>0.0446093771065244</v>
      </c>
      <c r="BL59" s="168" t="n">
        <v>0.000340037752432676</v>
      </c>
      <c r="BM59" s="168" t="n">
        <v>9.95827861738222E-006</v>
      </c>
      <c r="BN59" s="168" t="n">
        <v>7.519543186943E-006</v>
      </c>
      <c r="BO59" s="168" t="n">
        <v>5.07657730335552E-006</v>
      </c>
      <c r="BP59" s="168" t="n">
        <v>0.0332037627419212</v>
      </c>
      <c r="BQ59" s="168" t="n">
        <v>2.92360038432843E-006</v>
      </c>
      <c r="BR59" s="168" t="n">
        <v>1.27042541726514E-006</v>
      </c>
      <c r="BS59" s="168" t="n">
        <v>0.00239505188618526</v>
      </c>
      <c r="BT59" s="168" t="n">
        <v>2.32765259699502E-028</v>
      </c>
      <c r="BU59" s="168" t="n">
        <v>4.94322468405986E-029</v>
      </c>
      <c r="BV59" s="168" t="n">
        <v>1.57966059130343E-029</v>
      </c>
      <c r="BW59" s="3" t="n">
        <v>1.10468745439789E-021</v>
      </c>
      <c r="BX59" s="3" t="n">
        <v>1.60392324331408E-029</v>
      </c>
      <c r="BY59" s="3" t="n">
        <v>3.13919780124621E-029</v>
      </c>
      <c r="BZ59" s="169"/>
      <c r="CA59" s="169"/>
      <c r="CB59" s="169"/>
      <c r="CC59" s="169"/>
      <c r="CD59" s="169"/>
      <c r="CE59" s="169"/>
      <c r="CF59" s="169"/>
    </row>
    <row r="60" customFormat="false" ht="12.75" hidden="false" customHeight="false" outlineLevel="0" collapsed="false">
      <c r="A60" s="3" t="n">
        <v>5</v>
      </c>
      <c r="B60" s="3" t="n">
        <v>5.3</v>
      </c>
      <c r="C60" s="3" t="s">
        <v>244</v>
      </c>
      <c r="D60" s="3" t="s">
        <v>245</v>
      </c>
      <c r="E60" s="3" t="n">
        <v>0.596273892935119</v>
      </c>
      <c r="F60" s="3" t="n">
        <v>0.602500612914293</v>
      </c>
      <c r="G60" s="3" t="n">
        <v>1.22021893221999</v>
      </c>
      <c r="H60" s="3" t="n">
        <v>0.0549103979623077</v>
      </c>
      <c r="I60" s="3" t="n">
        <v>1.75720170780436</v>
      </c>
      <c r="J60" s="3" t="n">
        <v>1.72938206043221</v>
      </c>
      <c r="K60" s="3" t="n">
        <v>0.148086692965836</v>
      </c>
      <c r="L60" s="3" t="n">
        <v>0</v>
      </c>
      <c r="M60" s="3" t="n">
        <v>0.26281796013089</v>
      </c>
      <c r="N60" s="3" t="n">
        <v>0</v>
      </c>
      <c r="O60" s="3" t="n">
        <v>0.119623525522068</v>
      </c>
      <c r="P60" s="3" t="n">
        <v>0</v>
      </c>
      <c r="Q60" s="3" t="n">
        <v>0.154000461095389</v>
      </c>
      <c r="R60" s="3" t="n">
        <v>0.0216550497637992</v>
      </c>
      <c r="S60" s="3" t="n">
        <v>0.0621397568508424</v>
      </c>
      <c r="T60" s="3" t="n">
        <v>0</v>
      </c>
      <c r="U60" s="3" t="n">
        <v>0.165782656411646</v>
      </c>
      <c r="V60" s="3" t="n">
        <v>0.00783316017816756</v>
      </c>
      <c r="W60" s="3" t="n">
        <v>0.00122988804798592</v>
      </c>
      <c r="X60" s="3" t="n">
        <v>0.0392327404990466</v>
      </c>
      <c r="Y60" s="3" t="n">
        <v>0.00098406862611446</v>
      </c>
      <c r="Z60" s="3" t="n">
        <v>0.0334949107137278</v>
      </c>
      <c r="AA60" s="3" t="n">
        <v>0.000366270783568742</v>
      </c>
      <c r="AB60" s="3" t="n">
        <v>0.0316196803482429</v>
      </c>
      <c r="AC60" s="3" t="n">
        <v>0.409674596699388</v>
      </c>
      <c r="AD60" s="3" t="n">
        <v>0.172176558519731</v>
      </c>
      <c r="AE60" s="3" t="n">
        <v>0.0228380466173004</v>
      </c>
      <c r="AF60" s="3" t="n">
        <v>0.0627738592809734</v>
      </c>
      <c r="AG60" s="3" t="n">
        <v>0.00160029887882539</v>
      </c>
      <c r="AH60" s="3" t="n">
        <v>0.00411568236633665</v>
      </c>
      <c r="AI60" s="3" t="n">
        <v>0.0405347574538576</v>
      </c>
      <c r="AJ60" s="3" t="n">
        <v>0.602500612914293</v>
      </c>
      <c r="AK60" s="3" t="n">
        <v>0.0138288502296341</v>
      </c>
      <c r="AL60" s="3" t="n">
        <v>0.00190358669322119</v>
      </c>
      <c r="AM60" s="3" t="n">
        <v>0.00150013764491984</v>
      </c>
      <c r="AN60" s="3" t="n">
        <v>0.0189225698565947</v>
      </c>
      <c r="AO60" s="3" t="n">
        <v>0.0200639585374149</v>
      </c>
      <c r="AP60" s="3" t="n">
        <v>0.0194724877963548</v>
      </c>
      <c r="AQ60" s="3" t="n">
        <v>0.441351950081738</v>
      </c>
      <c r="AR60" s="3" t="n">
        <v>0.485538264990665</v>
      </c>
      <c r="AS60" s="3" t="n">
        <v>0.471530488492631</v>
      </c>
      <c r="AT60" s="3" t="n">
        <v>7.04058928326591E-005</v>
      </c>
      <c r="AU60" s="3" t="n">
        <v>0.0021667200553408</v>
      </c>
      <c r="AV60" s="3" t="n">
        <v>2.70064399894808E-005</v>
      </c>
      <c r="AW60" s="3" t="n">
        <v>0.00741096272070408</v>
      </c>
      <c r="AX60" s="3" t="n">
        <v>0.000956625407731813</v>
      </c>
      <c r="AY60" s="3" t="n">
        <v>0.00474624996788669</v>
      </c>
      <c r="AZ60" s="3" t="n">
        <v>0.00362518610783865</v>
      </c>
      <c r="BA60" s="3" t="n">
        <v>0.000284176347887049</v>
      </c>
      <c r="BB60" s="3" t="n">
        <v>0.00142613870335502</v>
      </c>
      <c r="BC60" s="3" t="n">
        <v>0.00157212452594807</v>
      </c>
      <c r="BD60" s="3" t="n">
        <v>0.00566767535399272</v>
      </c>
      <c r="BE60" s="3" t="n">
        <v>0.00859078647708198</v>
      </c>
      <c r="BF60" s="3" t="n">
        <v>0.0879784229078692</v>
      </c>
      <c r="BG60" s="3" t="n">
        <v>0.0051494305121077</v>
      </c>
      <c r="BH60" s="3" t="n">
        <v>0.0347286881673949</v>
      </c>
      <c r="BI60" s="3" t="n">
        <v>0.0444390600215748</v>
      </c>
      <c r="BJ60" s="3" t="n">
        <v>0.137501782416731</v>
      </c>
      <c r="BK60" s="3" t="n">
        <v>0.167306723869159</v>
      </c>
      <c r="BL60" s="3" t="n">
        <v>0.00107239392561099</v>
      </c>
      <c r="BM60" s="168" t="n">
        <v>0.000292363399132649</v>
      </c>
      <c r="BN60" s="168" t="n">
        <v>0.000267830161123755</v>
      </c>
      <c r="BO60" s="168" t="n">
        <v>0.000525031317604232</v>
      </c>
      <c r="BP60" s="3" t="n">
        <v>5.10067710350046E-005</v>
      </c>
      <c r="BQ60" s="3" t="n">
        <v>2.88927299523792E-005</v>
      </c>
      <c r="BR60" s="3" t="n">
        <v>9.78605536635809E-006</v>
      </c>
      <c r="BS60" s="3" t="n">
        <v>0.00752483256694459</v>
      </c>
      <c r="BT60" s="168" t="n">
        <v>0.00204688213763886</v>
      </c>
      <c r="BU60" s="168" t="n">
        <v>0.00189022938934706</v>
      </c>
      <c r="BV60" s="168" t="n">
        <v>0.00354079136683396</v>
      </c>
      <c r="BW60" s="3" t="n">
        <v>2.31174336755316E-027</v>
      </c>
      <c r="BX60" s="3" t="n">
        <v>1.43687384432482E-027</v>
      </c>
      <c r="BY60" s="3" t="n">
        <v>5.32043488833883E-028</v>
      </c>
      <c r="BZ60" s="169"/>
      <c r="CA60" s="169"/>
      <c r="CB60" s="169"/>
      <c r="CC60" s="169"/>
      <c r="CD60" s="169"/>
      <c r="CE60" s="169"/>
      <c r="CF60" s="169"/>
    </row>
    <row r="61" customFormat="false" ht="12.75" hidden="false" customHeight="false" outlineLevel="0" collapsed="false">
      <c r="A61" s="3" t="n">
        <v>5</v>
      </c>
      <c r="B61" s="3" t="n">
        <v>5.4</v>
      </c>
      <c r="C61" s="3" t="s">
        <v>244</v>
      </c>
      <c r="D61" s="3" t="s">
        <v>245</v>
      </c>
      <c r="E61" s="3" t="n">
        <v>2.50040144230607</v>
      </c>
      <c r="F61" s="3" t="n">
        <v>2.63714262199432</v>
      </c>
      <c r="G61" s="3" t="n">
        <v>1.01054851655256</v>
      </c>
      <c r="H61" s="3" t="n">
        <v>0.223760873808898</v>
      </c>
      <c r="I61" s="3" t="n">
        <v>3.6031350625405</v>
      </c>
      <c r="J61" s="3" t="n">
        <v>3.44814744643303</v>
      </c>
      <c r="K61" s="3" t="n">
        <v>0.156668734404224</v>
      </c>
      <c r="L61" s="3" t="n">
        <v>0</v>
      </c>
      <c r="M61" s="3" t="n">
        <v>0.15089988597193</v>
      </c>
      <c r="N61" s="3" t="n">
        <v>0</v>
      </c>
      <c r="O61" s="3" t="n">
        <v>0.0570095518393783</v>
      </c>
      <c r="P61" s="3" t="n">
        <v>0</v>
      </c>
      <c r="Q61" s="3" t="n">
        <v>0.0970713459599514</v>
      </c>
      <c r="R61" s="3" t="n">
        <v>0.0259119662469236</v>
      </c>
      <c r="S61" s="3" t="n">
        <v>0.128720495012805</v>
      </c>
      <c r="T61" s="3" t="n">
        <v>0</v>
      </c>
      <c r="U61" s="3" t="n">
        <v>0.317806153857775</v>
      </c>
      <c r="V61" s="3" t="n">
        <v>0.0154221792511249</v>
      </c>
      <c r="W61" s="3" t="n">
        <v>0.00435372275652081</v>
      </c>
      <c r="X61" s="3" t="n">
        <v>0.0562495502346746</v>
      </c>
      <c r="Y61" s="3" t="n">
        <v>0.00430151152763587</v>
      </c>
      <c r="Z61" s="3" t="n">
        <v>0.0223510932389088</v>
      </c>
      <c r="AA61" s="3" t="n">
        <v>0.000390737840303058</v>
      </c>
      <c r="AB61" s="3" t="n">
        <v>0.0264433530668513</v>
      </c>
      <c r="AC61" s="3" t="n">
        <v>1.4865344648435</v>
      </c>
      <c r="AD61" s="3" t="n">
        <v>1.02633132300816</v>
      </c>
      <c r="AE61" s="3" t="n">
        <v>0.0255115743964878</v>
      </c>
      <c r="AF61" s="3" t="n">
        <v>0.067532137827734</v>
      </c>
      <c r="AG61" s="3" t="n">
        <v>0.00019714358236917</v>
      </c>
      <c r="AH61" s="3" t="n">
        <v>0.0159445420421162</v>
      </c>
      <c r="AI61" s="3" t="n">
        <v>0.0728620585387007</v>
      </c>
      <c r="AJ61" s="3" t="n">
        <v>2.63714262199432</v>
      </c>
      <c r="AK61" s="3" t="n">
        <v>0.0130655355109344</v>
      </c>
      <c r="AL61" s="3" t="n">
        <v>0.00130548637435005</v>
      </c>
      <c r="AM61" s="3" t="n">
        <v>0.00141498071819742</v>
      </c>
      <c r="AN61" s="3" t="n">
        <v>0.0120591394763368</v>
      </c>
      <c r="AO61" s="3" t="n">
        <v>0.0157321456683824</v>
      </c>
      <c r="AP61" s="3" t="n">
        <v>0.0151315518714331</v>
      </c>
      <c r="AQ61" s="3" t="n">
        <v>0.273547795410668</v>
      </c>
      <c r="AR61" s="3" t="n">
        <v>0.379493805522212</v>
      </c>
      <c r="AS61" s="3" t="n">
        <v>0.364794669810066</v>
      </c>
      <c r="AT61" s="3" t="n">
        <v>0.00105678198933542</v>
      </c>
      <c r="AU61" s="3" t="n">
        <v>0.00549735784880277</v>
      </c>
      <c r="AV61" s="3" t="n">
        <v>0.000882129501902345</v>
      </c>
      <c r="AW61" s="3" t="n">
        <v>0.00149790197062642</v>
      </c>
      <c r="AX61" s="3" t="n">
        <v>0.00351673212058427</v>
      </c>
      <c r="AY61" s="3" t="n">
        <v>0.00947737073029919</v>
      </c>
      <c r="AZ61" s="3" t="n">
        <v>0.00269466931302339</v>
      </c>
      <c r="BA61" s="3" t="n">
        <v>0.00143207914567839</v>
      </c>
      <c r="BB61" s="3" t="n">
        <v>0.00167110744775805</v>
      </c>
      <c r="BC61" s="3" t="n">
        <v>0.00196257172180557</v>
      </c>
      <c r="BD61" s="3" t="n">
        <v>0.00228229018831085</v>
      </c>
      <c r="BE61" s="3" t="n">
        <v>0.00143217128014971</v>
      </c>
      <c r="BF61" s="3" t="n">
        <v>0.0614804756735195</v>
      </c>
      <c r="BG61" s="3" t="n">
        <v>0.0472515514232406</v>
      </c>
      <c r="BH61" s="3" t="n">
        <v>0.0428556101359818</v>
      </c>
      <c r="BI61" s="3" t="n">
        <v>0.0369585668980675</v>
      </c>
      <c r="BJ61" s="168" t="n">
        <v>0.0438845925017037</v>
      </c>
      <c r="BK61" s="168" t="n">
        <v>0.0113556241346686</v>
      </c>
      <c r="BL61" s="168" t="n">
        <v>0.00106280882319024</v>
      </c>
      <c r="BM61" s="168" t="n">
        <v>0.00026218259121082</v>
      </c>
      <c r="BN61" s="168" t="n">
        <v>0.000313462859569111</v>
      </c>
      <c r="BO61" s="168" t="n">
        <v>0.000615270477126833</v>
      </c>
      <c r="BP61" s="3" t="n">
        <v>0.000568965383636265</v>
      </c>
      <c r="BQ61" s="168" t="n">
        <v>0.000300043249237667</v>
      </c>
      <c r="BR61" s="168" t="n">
        <v>0.000848344271391203</v>
      </c>
      <c r="BS61" s="168" t="n">
        <v>0.00743115972695504</v>
      </c>
      <c r="BT61" s="168" t="n">
        <v>0.0018291606341743</v>
      </c>
      <c r="BU61" s="168" t="n">
        <v>0.00220471218316965</v>
      </c>
      <c r="BV61" s="168" t="n">
        <v>0.00413435450906639</v>
      </c>
      <c r="BW61" s="3" t="n">
        <v>0.00390782134564607</v>
      </c>
      <c r="BX61" s="3" t="n">
        <v>0.00195834660986654</v>
      </c>
      <c r="BY61" s="3" t="n">
        <v>0.00568371501345767</v>
      </c>
      <c r="BZ61" s="169"/>
      <c r="CA61" s="169"/>
      <c r="CB61" s="169"/>
      <c r="CC61" s="169"/>
      <c r="CD61" s="169"/>
      <c r="CE61" s="169"/>
      <c r="CF61" s="169"/>
    </row>
    <row r="62" customFormat="false" ht="12.75" hidden="false" customHeight="false" outlineLevel="0" collapsed="false">
      <c r="A62" s="3" t="n">
        <v>6</v>
      </c>
      <c r="B62" s="3" t="n">
        <v>6.1</v>
      </c>
      <c r="C62" s="3" t="s">
        <v>244</v>
      </c>
      <c r="D62" s="3" t="s">
        <v>245</v>
      </c>
      <c r="E62" s="3" t="n">
        <v>0.0695547434526022</v>
      </c>
      <c r="F62" s="3" t="n">
        <v>0.0245679515876932</v>
      </c>
      <c r="G62" s="3" t="n">
        <v>0.139886684566457</v>
      </c>
      <c r="H62" s="3" t="n">
        <v>0.045948917801687</v>
      </c>
      <c r="I62" s="3" t="n">
        <v>0.115324935224658</v>
      </c>
      <c r="J62" s="3" t="n">
        <v>0.0732082048430745</v>
      </c>
      <c r="K62" s="3" t="n">
        <v>0.0453474207814404</v>
      </c>
      <c r="L62" s="3" t="n">
        <v>0</v>
      </c>
      <c r="M62" s="3" t="n">
        <v>0.0271503647577895</v>
      </c>
      <c r="N62" s="3" t="n">
        <v>0</v>
      </c>
      <c r="O62" s="3" t="n">
        <v>0.0319423913120599</v>
      </c>
      <c r="P62" s="3" t="n">
        <v>0</v>
      </c>
      <c r="Q62" s="3" t="n">
        <v>0.0638203306219616</v>
      </c>
      <c r="R62" s="3" t="n">
        <v>0.0114086176446984</v>
      </c>
      <c r="S62" s="3" t="n">
        <v>0.0216236414473891</v>
      </c>
      <c r="T62" s="3" t="n">
        <v>0</v>
      </c>
      <c r="U62" s="3" t="n">
        <v>0.0762605405601519</v>
      </c>
      <c r="V62" s="3" t="n">
        <v>0.00501105851146441</v>
      </c>
      <c r="W62" s="3" t="n">
        <v>8.28477739103427E-005</v>
      </c>
      <c r="X62" s="3" t="n">
        <v>0.0180963582349196</v>
      </c>
      <c r="Y62" s="3" t="n">
        <v>0.000322382734682752</v>
      </c>
      <c r="Z62" s="3" t="n">
        <v>0.0175513328642168</v>
      </c>
      <c r="AA62" s="3" t="n">
        <v>0.000233203338285991</v>
      </c>
      <c r="AB62" s="3" t="n">
        <v>0.097938674461037</v>
      </c>
      <c r="AC62" s="3" t="n">
        <v>0.0146382053633426</v>
      </c>
      <c r="AD62" s="3" t="n">
        <v>0.0168230165450784</v>
      </c>
      <c r="AE62" s="3" t="n">
        <v>0.0527184229259421</v>
      </c>
      <c r="AF62" s="3" t="n">
        <v>0.0163264788338187</v>
      </c>
      <c r="AG62" s="3" t="n">
        <v>0.00901073194229175</v>
      </c>
      <c r="AH62" s="3" t="n">
        <v>0.00047034023039399</v>
      </c>
      <c r="AI62" s="3" t="n">
        <v>0.0140039728585625</v>
      </c>
      <c r="AJ62" s="3" t="n">
        <v>0.0245679515876932</v>
      </c>
      <c r="AK62" s="3" t="n">
        <v>0.000406047209017531</v>
      </c>
      <c r="AL62" s="3" t="n">
        <v>0.000238080912696732</v>
      </c>
      <c r="AM62" s="3" t="n">
        <v>0.000652944343050411</v>
      </c>
      <c r="AN62" s="168" t="n">
        <v>0</v>
      </c>
      <c r="AO62" s="168" t="n">
        <v>0</v>
      </c>
      <c r="AP62" s="168" t="n">
        <v>0</v>
      </c>
      <c r="AQ62" s="3" t="n">
        <v>2.73274098331063E-008</v>
      </c>
      <c r="AR62" s="3" t="n">
        <v>5.24694242669441E-008</v>
      </c>
      <c r="AS62" s="3" t="n">
        <v>4.5799430309133E-007</v>
      </c>
      <c r="AT62" s="3" t="n">
        <v>0.0278492571048558</v>
      </c>
      <c r="AU62" s="3" t="n">
        <v>0.0249431217881081</v>
      </c>
      <c r="AV62" s="3" t="n">
        <v>0.0277016812656707</v>
      </c>
      <c r="AW62" s="3" t="n">
        <v>0.025510531661969</v>
      </c>
      <c r="AX62" s="3" t="n">
        <v>0.0278972792366639</v>
      </c>
      <c r="AY62" s="3" t="n">
        <v>0.02026476930792</v>
      </c>
      <c r="AZ62" s="3" t="n">
        <v>0.00638292781270451</v>
      </c>
      <c r="BA62" s="3" t="n">
        <v>0.0008746905817544</v>
      </c>
      <c r="BB62" s="3" t="n">
        <v>0.00420442883339329</v>
      </c>
      <c r="BC62" s="3" t="n">
        <v>0.00174279713203482</v>
      </c>
      <c r="BD62" s="3" t="n">
        <v>0.00579392928703761</v>
      </c>
      <c r="BE62" s="3" t="n">
        <v>0.00657268614270632</v>
      </c>
      <c r="BF62" s="3" t="n">
        <v>0.15602159619332</v>
      </c>
      <c r="BG62" s="3" t="n">
        <v>0.0163747383024506</v>
      </c>
      <c r="BH62" s="3" t="n">
        <v>0.10420335445011</v>
      </c>
      <c r="BI62" s="168" t="n">
        <v>0.0329371346168899</v>
      </c>
      <c r="BJ62" s="168" t="n">
        <v>0.143691454620927</v>
      </c>
      <c r="BK62" s="168" t="n">
        <v>0.123316598636321</v>
      </c>
      <c r="BL62" s="168" t="n">
        <v>1.86244243821068E-007</v>
      </c>
      <c r="BM62" s="168" t="n">
        <v>1.06483588437286E-007</v>
      </c>
      <c r="BN62" s="168" t="n">
        <v>1.64804873329486E-007</v>
      </c>
      <c r="BO62" s="168" t="n">
        <v>3.81496727936067E-007</v>
      </c>
      <c r="BP62" s="168" t="n">
        <v>1.69179695174271E-007</v>
      </c>
      <c r="BQ62" s="168" t="n">
        <v>1.72996518978572E-007</v>
      </c>
      <c r="BR62" s="168" t="n">
        <v>7.59465182497477E-008</v>
      </c>
      <c r="BS62" s="168" t="n">
        <v>6.50658976057723E-032</v>
      </c>
      <c r="BT62" s="168" t="n">
        <v>2.79782288493788E-032</v>
      </c>
      <c r="BU62" s="168" t="n">
        <v>2.61578812253439E-032</v>
      </c>
      <c r="BV62" s="168" t="n">
        <v>3.37313760101117E-032</v>
      </c>
      <c r="BW62" s="3" t="n">
        <v>8.89166487143168E-032</v>
      </c>
      <c r="BX62" s="3" t="n">
        <v>2.00191694755217E-032</v>
      </c>
      <c r="BY62" s="3" t="n">
        <v>6.81407717753157E-033</v>
      </c>
      <c r="BZ62" s="169"/>
      <c r="CA62" s="169"/>
      <c r="CB62" s="169"/>
      <c r="CC62" s="169"/>
      <c r="CD62" s="169"/>
      <c r="CE62" s="169"/>
      <c r="CF62" s="169"/>
    </row>
    <row r="63" customFormat="false" ht="12.75" hidden="false" customHeight="false" outlineLevel="0" collapsed="false">
      <c r="A63" s="3" t="n">
        <v>6</v>
      </c>
      <c r="B63" s="3" t="n">
        <v>6.2</v>
      </c>
      <c r="C63" s="3" t="s">
        <v>244</v>
      </c>
      <c r="D63" s="3" t="s">
        <v>245</v>
      </c>
      <c r="E63" s="3" t="n">
        <v>1.55312169940144</v>
      </c>
      <c r="F63" s="3" t="n">
        <v>1.48557016262189</v>
      </c>
      <c r="G63" s="3" t="n">
        <v>1.56789051421395</v>
      </c>
      <c r="H63" s="3" t="n">
        <v>0.0733759863652628</v>
      </c>
      <c r="I63" s="168" t="n">
        <v>0.0910040412003204</v>
      </c>
      <c r="J63" s="3" t="n">
        <v>0.070657528006189</v>
      </c>
      <c r="K63" s="3" t="n">
        <v>0.105733490011218</v>
      </c>
      <c r="L63" s="3" t="n">
        <v>0</v>
      </c>
      <c r="M63" s="3" t="n">
        <v>0.203329126901489</v>
      </c>
      <c r="N63" s="3" t="n">
        <v>0</v>
      </c>
      <c r="O63" s="168" t="n">
        <v>0.17917763773191</v>
      </c>
      <c r="P63" s="3" t="n">
        <v>0</v>
      </c>
      <c r="Q63" s="3" t="n">
        <v>0.397436601621346</v>
      </c>
      <c r="R63" s="3" t="n">
        <v>0.0155024254538836</v>
      </c>
      <c r="S63" s="3" t="n">
        <v>0.218027671141912</v>
      </c>
      <c r="T63" s="168" t="n">
        <v>0</v>
      </c>
      <c r="U63" s="3" t="n">
        <v>0.270444233511441</v>
      </c>
      <c r="V63" s="168" t="n">
        <v>0.0108376632218875</v>
      </c>
      <c r="W63" s="3" t="n">
        <v>0.00200221275155663</v>
      </c>
      <c r="X63" s="168" t="n">
        <v>0.133603812657991</v>
      </c>
      <c r="Y63" s="3" t="n">
        <v>0.00448158071055551</v>
      </c>
      <c r="Z63" s="3" t="n">
        <v>0.243988431664375</v>
      </c>
      <c r="AA63" s="3" t="n">
        <v>0.00248216559046587</v>
      </c>
      <c r="AB63" s="3" t="n">
        <v>0.639227680458836</v>
      </c>
      <c r="AC63" s="3" t="n">
        <v>0.799169741692173</v>
      </c>
      <c r="AD63" s="3" t="n">
        <v>0.244865069152845</v>
      </c>
      <c r="AE63" s="168" t="n">
        <v>0.981509537702469</v>
      </c>
      <c r="AF63" s="3" t="n">
        <v>0.157773716365219</v>
      </c>
      <c r="AG63" s="3" t="n">
        <v>0.0221562219000146</v>
      </c>
      <c r="AH63" s="168" t="n">
        <v>0.00811847396753126</v>
      </c>
      <c r="AI63" s="168" t="n">
        <v>0.126900739721387</v>
      </c>
      <c r="AJ63" s="168" t="n">
        <v>1.48557016262189</v>
      </c>
      <c r="AK63" s="3" t="n">
        <v>0.00144124735070956</v>
      </c>
      <c r="AL63" s="3" t="n">
        <v>0.00153221343463032</v>
      </c>
      <c r="AM63" s="3" t="n">
        <v>0.00168328941980591</v>
      </c>
      <c r="AN63" s="168" t="n">
        <v>0.022117115950417</v>
      </c>
      <c r="AO63" s="168" t="n">
        <v>0.0128668356189172</v>
      </c>
      <c r="AP63" s="168" t="n">
        <v>0.0292043309940827</v>
      </c>
      <c r="AQ63" s="3" t="n">
        <v>0.534861280078882</v>
      </c>
      <c r="AR63" s="3" t="n">
        <v>0.311989706847798</v>
      </c>
      <c r="AS63" s="3" t="n">
        <v>0.710406469035814</v>
      </c>
      <c r="AT63" s="3" t="n">
        <v>0.000354965392027731</v>
      </c>
      <c r="AU63" s="3" t="n">
        <v>0.0010785913336815</v>
      </c>
      <c r="AV63" s="3" t="n">
        <v>0.000400372989321774</v>
      </c>
      <c r="AW63" s="3" t="n">
        <v>0.00297173979494053</v>
      </c>
      <c r="AX63" s="3" t="n">
        <v>0.000555801457504109</v>
      </c>
      <c r="AY63" s="3" t="n">
        <v>0.00148448875628027</v>
      </c>
      <c r="AZ63" s="3" t="n">
        <v>0.00122374501642837</v>
      </c>
      <c r="BA63" s="3" t="n">
        <v>0.000358749756605942</v>
      </c>
      <c r="BB63" s="3" t="n">
        <v>0.000177806908928227</v>
      </c>
      <c r="BC63" s="3" t="n">
        <v>0.00023051506961457</v>
      </c>
      <c r="BD63" s="3" t="n">
        <v>0.000691393379805413</v>
      </c>
      <c r="BE63" s="3" t="n">
        <v>0.000294607294368295</v>
      </c>
      <c r="BF63" s="3" t="n">
        <v>0.0298212415372656</v>
      </c>
      <c r="BG63" s="3" t="n">
        <v>0.00639928329525743</v>
      </c>
      <c r="BH63" s="3" t="n">
        <v>0.00434413067862614</v>
      </c>
      <c r="BI63" s="168" t="n">
        <v>0.00329980206652229</v>
      </c>
      <c r="BJ63" s="168" t="n">
        <v>0.0167166907235963</v>
      </c>
      <c r="BK63" s="168" t="n">
        <v>0.00596279477896256</v>
      </c>
      <c r="BL63" s="168" t="n">
        <v>0.0019351743440048</v>
      </c>
      <c r="BM63" s="168" t="n">
        <v>1.87022036001486E-005</v>
      </c>
      <c r="BN63" s="168" t="n">
        <v>9.01107174956638E-006</v>
      </c>
      <c r="BO63" s="168" t="n">
        <v>3.93572580459836E-006</v>
      </c>
      <c r="BP63" s="168" t="n">
        <v>7.29638373178193E-006</v>
      </c>
      <c r="BQ63" s="168" t="n">
        <v>2.28594944963206E-006</v>
      </c>
      <c r="BR63" s="168" t="n">
        <v>1.18829586351232E-005</v>
      </c>
      <c r="BS63" s="168" t="n">
        <v>0.0136244269023846</v>
      </c>
      <c r="BT63" s="168" t="n">
        <v>3.24186853096799E-028</v>
      </c>
      <c r="BU63" s="168" t="n">
        <v>3.54503410968533E-029</v>
      </c>
      <c r="BV63" s="168" t="n">
        <v>6.88767209469504E-030</v>
      </c>
      <c r="BW63" s="3" t="n">
        <v>1.50708378685845E-029</v>
      </c>
      <c r="BX63" s="3" t="n">
        <v>5.00431327026666E-030</v>
      </c>
      <c r="BY63" s="3" t="n">
        <v>2.65170633948429E-028</v>
      </c>
      <c r="BZ63" s="169"/>
      <c r="CA63" s="169"/>
      <c r="CB63" s="169"/>
      <c r="CC63" s="169"/>
      <c r="CD63" s="169"/>
      <c r="CE63" s="169"/>
      <c r="CF63" s="169"/>
    </row>
    <row r="64" customFormat="false" ht="12.75" hidden="false" customHeight="false" outlineLevel="0" collapsed="false">
      <c r="A64" s="3" t="n">
        <v>6</v>
      </c>
      <c r="B64" s="3" t="n">
        <v>6.3</v>
      </c>
      <c r="C64" s="3" t="s">
        <v>244</v>
      </c>
      <c r="D64" s="3" t="s">
        <v>245</v>
      </c>
      <c r="E64" s="3" t="n">
        <v>0.236903578074296</v>
      </c>
      <c r="F64" s="3" t="n">
        <v>0.262025955441876</v>
      </c>
      <c r="G64" s="3" t="n">
        <v>1.30544827907765</v>
      </c>
      <c r="H64" s="3" t="n">
        <v>0.0463327670306225</v>
      </c>
      <c r="I64" s="3" t="n">
        <v>1.39099438306487</v>
      </c>
      <c r="J64" s="3" t="n">
        <v>1.41372614531689</v>
      </c>
      <c r="K64" s="3" t="n">
        <v>0.132158227462796</v>
      </c>
      <c r="L64" s="3" t="n">
        <v>0</v>
      </c>
      <c r="M64" s="3" t="n">
        <v>0.24530563247335</v>
      </c>
      <c r="N64" s="3" t="n">
        <v>0</v>
      </c>
      <c r="O64" s="3" t="n">
        <v>0.134110662731693</v>
      </c>
      <c r="P64" s="3" t="n">
        <v>0</v>
      </c>
      <c r="Q64" s="3" t="n">
        <v>0.191533799782253</v>
      </c>
      <c r="R64" s="3" t="n">
        <v>0.017191623062335</v>
      </c>
      <c r="S64" s="3" t="n">
        <v>0.0963495223757545</v>
      </c>
      <c r="T64" s="3" t="n">
        <v>0</v>
      </c>
      <c r="U64" s="3" t="n">
        <v>0.193278897760893</v>
      </c>
      <c r="V64" s="3" t="n">
        <v>0.0121254610481812</v>
      </c>
      <c r="W64" s="3" t="n">
        <v>0.00023336149100943</v>
      </c>
      <c r="X64" s="3" t="n">
        <v>0.00691789828409255</v>
      </c>
      <c r="Y64" s="3" t="n">
        <v>0.000893386122974733</v>
      </c>
      <c r="Z64" s="3" t="n">
        <v>0.0323537994641495</v>
      </c>
      <c r="AA64" s="3" t="n">
        <v>0.00113630147183054</v>
      </c>
      <c r="AB64" s="3" t="n">
        <v>0.0161401594560688</v>
      </c>
      <c r="AC64" s="3" t="n">
        <v>0.0570522823151008</v>
      </c>
      <c r="AD64" s="3" t="n">
        <v>0.107139396682882</v>
      </c>
      <c r="AE64" s="3" t="n">
        <v>0.188822825519116</v>
      </c>
      <c r="AF64" s="3" t="n">
        <v>0.0770226497712022</v>
      </c>
      <c r="AG64" s="3" t="n">
        <v>0.0187090480256436</v>
      </c>
      <c r="AH64" s="3" t="n">
        <v>0.00197024412288756</v>
      </c>
      <c r="AI64" s="3" t="n">
        <v>0.0390894114569283</v>
      </c>
      <c r="AJ64" s="3" t="n">
        <v>0.262025955441876</v>
      </c>
      <c r="AK64" s="3" t="n">
        <v>0.0199486877309624</v>
      </c>
      <c r="AL64" s="3" t="n">
        <v>0.000444942960866928</v>
      </c>
      <c r="AM64" s="3" t="n">
        <v>0.00125172973191542</v>
      </c>
      <c r="AN64" s="3" t="n">
        <v>0.0207788148739504</v>
      </c>
      <c r="AO64" s="3" t="n">
        <v>0.0135063571981048</v>
      </c>
      <c r="AP64" s="3" t="n">
        <v>0.0162147169258255</v>
      </c>
      <c r="AQ64" s="3" t="n">
        <v>0.5242523522485</v>
      </c>
      <c r="AR64" s="3" t="n">
        <v>0.327823955697928</v>
      </c>
      <c r="AS64" s="3" t="n">
        <v>0.392607868141814</v>
      </c>
      <c r="AT64" s="3" t="n">
        <v>6.13128398358302E-005</v>
      </c>
      <c r="AU64" s="3" t="n">
        <v>0.00233955814237411</v>
      </c>
      <c r="AV64" s="3" t="n">
        <v>0.000125739922374062</v>
      </c>
      <c r="AW64" s="3" t="n">
        <v>0.00239977077560506</v>
      </c>
      <c r="AX64" s="3" t="n">
        <v>0.000714488078020375</v>
      </c>
      <c r="AY64" s="3" t="n">
        <v>0.00617394660453421</v>
      </c>
      <c r="AZ64" s="3" t="n">
        <v>0.00161220144380684</v>
      </c>
      <c r="BA64" s="3" t="n">
        <v>0.000443586475216231</v>
      </c>
      <c r="BB64" s="3" t="n">
        <v>0.00023980498590195</v>
      </c>
      <c r="BC64" s="3" t="n">
        <v>0.000164273015679072</v>
      </c>
      <c r="BD64" s="3" t="n">
        <v>0.00388995523980421</v>
      </c>
      <c r="BE64" s="3" t="n">
        <v>0.00438444907710962</v>
      </c>
      <c r="BF64" s="3" t="n">
        <v>0.0390660749056245</v>
      </c>
      <c r="BG64" s="3" t="n">
        <v>0.0134085993942964</v>
      </c>
      <c r="BH64" s="3" t="n">
        <v>0.00606120395733078</v>
      </c>
      <c r="BI64" s="3" t="n">
        <v>0.00242250610364947</v>
      </c>
      <c r="BJ64" s="3" t="n">
        <v>0.0954189885836472</v>
      </c>
      <c r="BK64" s="3" t="n">
        <v>0.0672096513997239</v>
      </c>
      <c r="BL64" s="3" t="n">
        <v>0.000219178121584933</v>
      </c>
      <c r="BM64" s="168" t="n">
        <v>0.000158296533078106</v>
      </c>
      <c r="BN64" s="168" t="n">
        <v>0.000135371735451498</v>
      </c>
      <c r="BO64" s="168" t="n">
        <v>0.000524619812364353</v>
      </c>
      <c r="BP64" s="3" t="n">
        <v>2.90440195316813E-005</v>
      </c>
      <c r="BQ64" s="3" t="n">
        <v>1.59640387610463E-005</v>
      </c>
      <c r="BR64" s="3" t="n">
        <v>8.02014143587333E-006</v>
      </c>
      <c r="BS64" s="3" t="n">
        <v>0.00153806233948816</v>
      </c>
      <c r="BT64" s="168" t="n">
        <v>0.00110828460127196</v>
      </c>
      <c r="BU64" s="168" t="n">
        <v>0.000955415647808656</v>
      </c>
      <c r="BV64" s="168" t="n">
        <v>0.00353812311369004</v>
      </c>
      <c r="BW64" s="3" t="n">
        <v>9.16448104029361E-028</v>
      </c>
      <c r="BX64" s="3" t="n">
        <v>7.28238911884891E-028</v>
      </c>
      <c r="BY64" s="3" t="n">
        <v>3.98784318217592E-028</v>
      </c>
      <c r="BZ64" s="169"/>
      <c r="CA64" s="169"/>
      <c r="CB64" s="169"/>
      <c r="CC64" s="169"/>
      <c r="CD64" s="169"/>
      <c r="CE64" s="169"/>
      <c r="CF64" s="169"/>
    </row>
    <row r="65" customFormat="false" ht="12.75" hidden="false" customHeight="false" outlineLevel="0" collapsed="false">
      <c r="A65" s="3" t="n">
        <v>6</v>
      </c>
      <c r="B65" s="3" t="n">
        <v>6.4</v>
      </c>
      <c r="C65" s="3" t="s">
        <v>244</v>
      </c>
      <c r="D65" s="3" t="s">
        <v>245</v>
      </c>
      <c r="E65" s="3" t="n">
        <v>1.82257011114439</v>
      </c>
      <c r="F65" s="3" t="n">
        <v>2.39245005795236</v>
      </c>
      <c r="G65" s="3" t="n">
        <v>1.3347849393427</v>
      </c>
      <c r="H65" s="3" t="n">
        <v>0.570919017364835</v>
      </c>
      <c r="I65" s="3" t="n">
        <v>3.70509569172772</v>
      </c>
      <c r="J65" s="3" t="n">
        <v>3.1402207636002</v>
      </c>
      <c r="K65" s="3" t="n">
        <v>0.140450800804157</v>
      </c>
      <c r="L65" s="3" t="n">
        <v>0</v>
      </c>
      <c r="M65" s="3" t="n">
        <v>0.281469114042654</v>
      </c>
      <c r="N65" s="3" t="n">
        <v>0</v>
      </c>
      <c r="O65" s="3" t="n">
        <v>0.191584704571353</v>
      </c>
      <c r="P65" s="3" t="n">
        <v>0</v>
      </c>
      <c r="Q65" s="3" t="n">
        <v>0.355240696397656</v>
      </c>
      <c r="R65" s="3" t="n">
        <v>0.0175720074280025</v>
      </c>
      <c r="S65" s="3" t="n">
        <v>0.191210790545559</v>
      </c>
      <c r="T65" s="3" t="n">
        <v>0</v>
      </c>
      <c r="U65" s="3" t="n">
        <v>0.270911667190015</v>
      </c>
      <c r="V65" s="3" t="n">
        <v>0.0245679474940176</v>
      </c>
      <c r="W65" s="3" t="n">
        <v>0.00239204186454505</v>
      </c>
      <c r="X65" s="3" t="n">
        <v>0.00346075777751377</v>
      </c>
      <c r="Y65" s="3" t="n">
        <v>0.00254378370908887</v>
      </c>
      <c r="Z65" s="3" t="n">
        <v>0.0220994284801384</v>
      </c>
      <c r="AA65" s="3" t="n">
        <v>0.00487649266163512</v>
      </c>
      <c r="AB65" s="3" t="n">
        <v>0.0209794524796486</v>
      </c>
      <c r="AC65" s="3" t="n">
        <v>0.44049213590323</v>
      </c>
      <c r="AD65" s="3" t="n">
        <v>0.182961723199718</v>
      </c>
      <c r="AE65" s="3" t="n">
        <v>1.20937523223536</v>
      </c>
      <c r="AF65" s="3" t="n">
        <v>0.189017894758988</v>
      </c>
      <c r="AG65" s="3" t="n">
        <v>0.021036230056469</v>
      </c>
      <c r="AH65" s="3" t="n">
        <v>0.00942395501780769</v>
      </c>
      <c r="AI65" s="3" t="n">
        <v>0.0444914195146081</v>
      </c>
      <c r="AJ65" s="3" t="n">
        <v>2.39245005795236</v>
      </c>
      <c r="AK65" s="3" t="n">
        <v>0.0057428088397896</v>
      </c>
      <c r="AL65" s="3" t="n">
        <v>0.00213330515443593</v>
      </c>
      <c r="AM65" s="3" t="n">
        <v>0.00244321654024062</v>
      </c>
      <c r="AN65" s="3" t="n">
        <v>0.0220108902231945</v>
      </c>
      <c r="AO65" s="3" t="n">
        <v>0.0237173056131005</v>
      </c>
      <c r="AP65" s="3" t="n">
        <v>0.0221300422094734</v>
      </c>
      <c r="AQ65" s="3" t="n">
        <v>0.522512587385188</v>
      </c>
      <c r="AR65" s="3" t="n">
        <v>0.57191135011639</v>
      </c>
      <c r="AS65" s="3" t="n">
        <v>0.53312275323211</v>
      </c>
      <c r="AT65" s="3" t="n">
        <v>0.0017880194872606</v>
      </c>
      <c r="AU65" s="3" t="n">
        <v>0.0101020704794928</v>
      </c>
      <c r="AV65" s="3" t="n">
        <v>0.00138960535340804</v>
      </c>
      <c r="AW65" s="3" t="n">
        <v>0.00740988266305766</v>
      </c>
      <c r="AX65" s="3" t="n">
        <v>0.00261801586655291</v>
      </c>
      <c r="AY65" s="3" t="n">
        <v>0.00917657478724325</v>
      </c>
      <c r="AZ65" s="3" t="n">
        <v>0.00844895356281744</v>
      </c>
      <c r="BA65" s="3" t="n">
        <v>0.00370430492013592</v>
      </c>
      <c r="BB65" s="3" t="n">
        <v>0.00167660144910965</v>
      </c>
      <c r="BC65" s="3" t="n">
        <v>0.00218366943339906</v>
      </c>
      <c r="BD65" s="3" t="n">
        <v>0.0105818274394886</v>
      </c>
      <c r="BE65" s="3" t="n">
        <v>0.0141433811682817</v>
      </c>
      <c r="BF65" s="3" t="n">
        <v>0.198161975698269</v>
      </c>
      <c r="BG65" s="3" t="n">
        <v>0.108154731798586</v>
      </c>
      <c r="BH65" s="3" t="n">
        <v>0.0450145145518289</v>
      </c>
      <c r="BI65" s="3" t="n">
        <v>0.0685356847998515</v>
      </c>
      <c r="BJ65" s="168" t="n">
        <v>0.247055166385413</v>
      </c>
      <c r="BK65" s="168" t="n">
        <v>0.291716562957384</v>
      </c>
      <c r="BL65" s="168" t="n">
        <v>0.00100637799704718</v>
      </c>
      <c r="BM65" s="168" t="n">
        <v>0.000395807001667831</v>
      </c>
      <c r="BN65" s="168" t="n">
        <v>0.00019210371890849</v>
      </c>
      <c r="BO65" s="168" t="n">
        <v>0.000317543143323351</v>
      </c>
      <c r="BP65" s="3" t="n">
        <v>0.000543715712350015</v>
      </c>
      <c r="BQ65" s="168" t="n">
        <v>0.00127859377630813</v>
      </c>
      <c r="BR65" s="168" t="n">
        <v>0.00152750504057433</v>
      </c>
      <c r="BS65" s="168" t="n">
        <v>0.00703690824630632</v>
      </c>
      <c r="BT65" s="168" t="n">
        <v>0.00276141544802918</v>
      </c>
      <c r="BU65" s="168" t="n">
        <v>0.00135106221557261</v>
      </c>
      <c r="BV65" s="168" t="n">
        <v>0.00213363857288591</v>
      </c>
      <c r="BW65" s="3" t="n">
        <v>0.00373431319335869</v>
      </c>
      <c r="BX65" s="3" t="n">
        <v>0.00834560485266945</v>
      </c>
      <c r="BY65" s="3" t="n">
        <v>0.0102336588600804</v>
      </c>
      <c r="BZ65" s="169"/>
      <c r="CA65" s="169"/>
      <c r="CB65" s="169"/>
      <c r="CC65" s="169"/>
      <c r="CD65" s="169"/>
      <c r="CE65" s="169"/>
      <c r="CF65" s="169"/>
    </row>
    <row r="66" customFormat="false" ht="12.75" hidden="true" customHeight="false" outlineLevel="0" collapsed="false">
      <c r="A66" s="3" t="n">
        <v>5</v>
      </c>
      <c r="B66" s="3" t="n">
        <v>5.1</v>
      </c>
      <c r="C66" s="3" t="s">
        <v>310</v>
      </c>
      <c r="D66" s="3" t="s">
        <v>246</v>
      </c>
      <c r="E66" s="3" t="n">
        <v>72.4424716666666</v>
      </c>
      <c r="F66" s="3" t="n">
        <v>19.8663544166666</v>
      </c>
      <c r="G66" s="3" t="n">
        <v>0.501605945156322</v>
      </c>
      <c r="H66" s="3" t="n">
        <v>52.57611725</v>
      </c>
      <c r="I66" s="168" t="n">
        <v>19.3647484715103</v>
      </c>
      <c r="J66" s="3" t="n">
        <v>71.9408657215103</v>
      </c>
      <c r="K66" s="3" t="n">
        <v>283.3294825</v>
      </c>
      <c r="L66" s="3" t="n">
        <v>-29.9999999999999</v>
      </c>
      <c r="M66" s="3" t="n">
        <v>491.183868333333</v>
      </c>
      <c r="N66" s="3" t="n">
        <v>0</v>
      </c>
      <c r="O66" s="168" t="n">
        <v>283.5011325</v>
      </c>
      <c r="P66" s="3" t="n">
        <v>-150</v>
      </c>
      <c r="Q66" s="3" t="n">
        <v>490.449729166666</v>
      </c>
      <c r="R66" s="3" t="n">
        <v>-120.087296943472</v>
      </c>
      <c r="S66" s="3" t="n">
        <v>282.905244166666</v>
      </c>
      <c r="T66" s="168" t="n">
        <v>90</v>
      </c>
      <c r="U66" s="168" t="n">
        <v>490.179508333333</v>
      </c>
      <c r="V66" s="168" t="n">
        <v>120.036304186967</v>
      </c>
      <c r="W66" s="168" t="n">
        <v>0.250666310833333</v>
      </c>
      <c r="X66" s="168" t="n">
        <v>-105.296156375585</v>
      </c>
      <c r="Y66" s="168" t="n">
        <v>0.3583918175</v>
      </c>
      <c r="Z66" s="3" t="n">
        <v>146.426856282623</v>
      </c>
      <c r="AA66" s="3" t="n">
        <v>0.3654907725</v>
      </c>
      <c r="AB66" s="168" t="n">
        <v>6.00165190939969</v>
      </c>
      <c r="AC66" s="3" t="n">
        <v>16.9269236666666</v>
      </c>
      <c r="AD66" s="168" t="n">
        <v>44.8828709166666</v>
      </c>
      <c r="AE66" s="168" t="n">
        <v>10.6326770833333</v>
      </c>
      <c r="AF66" s="168" t="n">
        <v>123.533486666666</v>
      </c>
      <c r="AG66" s="3" t="n">
        <v>-0.0466492836747534</v>
      </c>
      <c r="AH66" s="168" t="n">
        <v>0.473101876666666</v>
      </c>
      <c r="AI66" s="168" t="n">
        <v>-70.1745256663438</v>
      </c>
      <c r="AJ66" s="168" t="n">
        <v>19.8663544166666</v>
      </c>
      <c r="AK66" s="168" t="n">
        <v>0.248035375</v>
      </c>
      <c r="AL66" s="168" t="n">
        <v>0.17060852</v>
      </c>
      <c r="AM66" s="168" t="n">
        <v>0.220850728333333</v>
      </c>
      <c r="AN66" s="3" t="n">
        <v>0</v>
      </c>
      <c r="AO66" s="3" t="n">
        <v>0</v>
      </c>
      <c r="AP66" s="3" t="n">
        <v>0</v>
      </c>
      <c r="AQ66" s="168" t="n">
        <v>3.3433850575E-006</v>
      </c>
      <c r="AR66" s="168" t="n">
        <v>7.167430017E-007</v>
      </c>
      <c r="AS66" s="168" t="n">
        <v>-9.52671213333333E-006</v>
      </c>
      <c r="AT66" s="168" t="n">
        <v>24.5506231916666</v>
      </c>
      <c r="AU66" s="168" t="n">
        <v>18.866671475</v>
      </c>
      <c r="AV66" s="168" t="n">
        <v>24.5508649083333</v>
      </c>
      <c r="AW66" s="168" t="n">
        <v>18.7694530333333</v>
      </c>
      <c r="AX66" s="168" t="n">
        <v>24.5505559083333</v>
      </c>
      <c r="AY66" s="168" t="n">
        <v>18.84680925</v>
      </c>
      <c r="AZ66" s="168" t="n">
        <v>0.0595205051403804</v>
      </c>
      <c r="BA66" s="168" t="n">
        <v>0.00688822997909567</v>
      </c>
      <c r="BB66" s="168" t="n">
        <v>0.049227463887805</v>
      </c>
      <c r="BC66" s="168" t="n">
        <v>0.00721458162831227</v>
      </c>
      <c r="BD66" s="168" t="n">
        <v>0.059266977571977</v>
      </c>
      <c r="BE66" s="168" t="n">
        <v>0.0125347318766884</v>
      </c>
      <c r="BF66" s="168" t="n">
        <v>1.46126550658286</v>
      </c>
      <c r="BG66" s="3" t="n">
        <v>0.129958027841187</v>
      </c>
      <c r="BH66" s="3" t="n">
        <v>1.20857680787991</v>
      </c>
      <c r="BI66" s="168" t="n">
        <v>0.135413753221913</v>
      </c>
      <c r="BJ66" s="168" t="n">
        <v>1.45503726974735</v>
      </c>
      <c r="BK66" s="168" t="n">
        <v>0.236239630677296</v>
      </c>
      <c r="BL66" s="168" t="n">
        <v>2.00616666666666E-006</v>
      </c>
      <c r="BM66" s="168" t="n">
        <v>1.55048333333333E-006</v>
      </c>
      <c r="BN66" s="168" t="n">
        <v>8.88708333333333E-007</v>
      </c>
      <c r="BO66" s="168" t="n">
        <v>6.07675E-007</v>
      </c>
      <c r="BP66" s="168" t="n">
        <v>2.1899E-006</v>
      </c>
      <c r="BQ66" s="168" t="n">
        <v>7.28333333333333E-007</v>
      </c>
      <c r="BR66" s="168" t="n">
        <v>6.56791666666666E-007</v>
      </c>
      <c r="BS66" s="168" t="n">
        <v>4.65878083333333E-031</v>
      </c>
      <c r="BT66" s="168" t="n">
        <v>2.87717183333333E-031</v>
      </c>
      <c r="BU66" s="168" t="n">
        <v>1.08133604629629E-031</v>
      </c>
      <c r="BV66" s="168" t="n">
        <v>5.89562972222222E-032</v>
      </c>
      <c r="BW66" s="3" t="n">
        <v>5.51664307407407E-031</v>
      </c>
      <c r="BX66" s="3" t="n">
        <v>7.48926351851851E-032</v>
      </c>
      <c r="BY66" s="3" t="n">
        <v>6.24651694444444E-032</v>
      </c>
      <c r="BZ66" s="169"/>
      <c r="CA66" s="169"/>
      <c r="CB66" s="169"/>
      <c r="CC66" s="169"/>
      <c r="CD66" s="169"/>
      <c r="CE66" s="169"/>
      <c r="CF66" s="169"/>
    </row>
    <row r="67" customFormat="false" ht="12.75" hidden="true" customHeight="false" outlineLevel="0" collapsed="false">
      <c r="A67" s="3" t="n">
        <v>5</v>
      </c>
      <c r="B67" s="3" t="n">
        <v>5.1</v>
      </c>
      <c r="C67" s="3" t="s">
        <v>311</v>
      </c>
      <c r="D67" s="3" t="s">
        <v>246</v>
      </c>
      <c r="E67" s="3" t="n">
        <v>72.3865326666666</v>
      </c>
      <c r="F67" s="3" t="n">
        <v>19.8279059166666</v>
      </c>
      <c r="G67" s="3" t="n">
        <v>0.497248530953072</v>
      </c>
      <c r="H67" s="3" t="n">
        <v>52.55862675</v>
      </c>
      <c r="I67" s="168" t="n">
        <v>19.3306573857135</v>
      </c>
      <c r="J67" s="3" t="n">
        <v>71.8892841357136</v>
      </c>
      <c r="K67" s="3" t="n">
        <v>283.472238333333</v>
      </c>
      <c r="L67" s="3" t="n">
        <v>-29.9999999999999</v>
      </c>
      <c r="M67" s="3" t="n">
        <v>491.525568333333</v>
      </c>
      <c r="N67" s="3" t="n">
        <v>0</v>
      </c>
      <c r="O67" s="168" t="n">
        <v>283.717783333333</v>
      </c>
      <c r="P67" s="3" t="n">
        <v>-150</v>
      </c>
      <c r="Q67" s="3" t="n">
        <v>490.764134166666</v>
      </c>
      <c r="R67" s="3" t="n">
        <v>-120.084015123566</v>
      </c>
      <c r="S67" s="3" t="n">
        <v>283.032136666666</v>
      </c>
      <c r="T67" s="168" t="n">
        <v>90</v>
      </c>
      <c r="U67" s="168" t="n">
        <v>490.368040833333</v>
      </c>
      <c r="V67" s="168" t="n">
        <v>120.019002016864</v>
      </c>
      <c r="W67" s="168" t="n">
        <v>0.251177969166666</v>
      </c>
      <c r="X67" s="168" t="n">
        <v>-105.309637725776</v>
      </c>
      <c r="Y67" s="168" t="n">
        <v>0.35895633</v>
      </c>
      <c r="Z67" s="3" t="n">
        <v>146.361890933547</v>
      </c>
      <c r="AA67" s="3" t="n">
        <v>0.365802375833333</v>
      </c>
      <c r="AB67" s="168" t="n">
        <v>5.93622902731258</v>
      </c>
      <c r="AC67" s="3" t="n">
        <v>16.9469100833333</v>
      </c>
      <c r="AD67" s="168" t="n">
        <v>44.86243075</v>
      </c>
      <c r="AE67" s="168" t="n">
        <v>10.5771918333333</v>
      </c>
      <c r="AF67" s="168" t="n">
        <v>123.619974166666</v>
      </c>
      <c r="AG67" s="3" t="n">
        <v>-0.0459820467112166</v>
      </c>
      <c r="AH67" s="168" t="n">
        <v>0.473060169166666</v>
      </c>
      <c r="AI67" s="168" t="n">
        <v>-70.2265773826574</v>
      </c>
      <c r="AJ67" s="168" t="n">
        <v>19.8279059166666</v>
      </c>
      <c r="AK67" s="168" t="n">
        <v>0.2484930675</v>
      </c>
      <c r="AL67" s="168" t="n">
        <v>0.170767636666666</v>
      </c>
      <c r="AM67" s="168" t="n">
        <v>0.221161634166666</v>
      </c>
      <c r="AN67" s="3" t="n">
        <v>0</v>
      </c>
      <c r="AO67" s="3" t="n">
        <v>0</v>
      </c>
      <c r="AP67" s="3" t="n">
        <v>0</v>
      </c>
      <c r="AQ67" s="168" t="n">
        <v>3.0674523925E-006</v>
      </c>
      <c r="AR67" s="168" t="n">
        <v>7.3226792425E-007</v>
      </c>
      <c r="AS67" s="168" t="n">
        <v>-8.397062375E-006</v>
      </c>
      <c r="AT67" s="168" t="n">
        <v>24.5512038583333</v>
      </c>
      <c r="AU67" s="168" t="n">
        <v>18.8590988166666</v>
      </c>
      <c r="AV67" s="168" t="n">
        <v>24.5514582333333</v>
      </c>
      <c r="AW67" s="168" t="n">
        <v>18.7604852583333</v>
      </c>
      <c r="AX67" s="168" t="n">
        <v>24.5511306749999</v>
      </c>
      <c r="AY67" s="168" t="n">
        <v>18.8384081333333</v>
      </c>
      <c r="AZ67" s="168" t="n">
        <v>0.0609483368709077</v>
      </c>
      <c r="BA67" s="168" t="n">
        <v>0.00654757059119145</v>
      </c>
      <c r="BB67" s="168" t="n">
        <v>0.049161413226795</v>
      </c>
      <c r="BC67" s="168" t="n">
        <v>0.00717786549097575</v>
      </c>
      <c r="BD67" s="168" t="n">
        <v>0.060448130858781</v>
      </c>
      <c r="BE67" s="168" t="n">
        <v>0.0126927703774472</v>
      </c>
      <c r="BF67" s="168" t="n">
        <v>1.49635504921139</v>
      </c>
      <c r="BG67" s="3" t="n">
        <v>0.123481281235031</v>
      </c>
      <c r="BH67" s="3" t="n">
        <v>1.20698438415847</v>
      </c>
      <c r="BI67" s="168" t="n">
        <v>0.13466026814307</v>
      </c>
      <c r="BJ67" s="168" t="n">
        <v>1.48406996225508</v>
      </c>
      <c r="BK67" s="168" t="n">
        <v>0.239111578917029</v>
      </c>
      <c r="BL67" s="168" t="n">
        <v>1.79995E-006</v>
      </c>
      <c r="BM67" s="168" t="n">
        <v>1.31439166666666E-006</v>
      </c>
      <c r="BN67" s="168" t="n">
        <v>6.21875E-007</v>
      </c>
      <c r="BO67" s="168" t="n">
        <v>5.09616666666666E-007</v>
      </c>
      <c r="BP67" s="168" t="n">
        <v>1.9962E-006</v>
      </c>
      <c r="BQ67" s="168" t="n">
        <v>3.77475E-007</v>
      </c>
      <c r="BR67" s="168" t="n">
        <v>2.12E-007</v>
      </c>
      <c r="BS67" s="168" t="n">
        <v>3.80540798148148E-031</v>
      </c>
      <c r="BT67" s="168" t="n">
        <v>2.08818210185185E-031</v>
      </c>
      <c r="BU67" s="168" t="n">
        <v>6.19646175925925E-032</v>
      </c>
      <c r="BV67" s="168" t="n">
        <v>5.04947296296296E-032</v>
      </c>
      <c r="BW67" s="3" t="n">
        <v>4.64482137037037E-031</v>
      </c>
      <c r="BX67" s="3" t="n">
        <v>3.85959638888888E-032</v>
      </c>
      <c r="BY67" s="3" t="n">
        <v>2.84516425925925E-032</v>
      </c>
      <c r="BZ67" s="169"/>
      <c r="CA67" s="169"/>
      <c r="CB67" s="169"/>
      <c r="CC67" s="169"/>
      <c r="CD67" s="169"/>
      <c r="CE67" s="169"/>
      <c r="CF67" s="169"/>
    </row>
    <row r="68" customFormat="false" ht="12.75" hidden="true" customHeight="false" outlineLevel="0" collapsed="false">
      <c r="A68" s="3" t="n">
        <v>5</v>
      </c>
      <c r="B68" s="3" t="n">
        <v>5.1</v>
      </c>
      <c r="C68" s="3" t="s">
        <v>312</v>
      </c>
      <c r="D68" s="3" t="s">
        <v>246</v>
      </c>
      <c r="E68" s="3" t="n">
        <v>72.3442409166666</v>
      </c>
      <c r="F68" s="3" t="n">
        <v>19.8214910833333</v>
      </c>
      <c r="G68" s="3" t="n">
        <v>0.490607243310059</v>
      </c>
      <c r="H68" s="3" t="n">
        <v>52.5227498333333</v>
      </c>
      <c r="I68" s="168" t="n">
        <v>19.3308838400232</v>
      </c>
      <c r="J68" s="3" t="n">
        <v>71.8536336733566</v>
      </c>
      <c r="K68" s="3" t="n">
        <v>283.497911666666</v>
      </c>
      <c r="L68" s="3" t="n">
        <v>-29.9999999999999</v>
      </c>
      <c r="M68" s="3" t="n">
        <v>491.477081666666</v>
      </c>
      <c r="N68" s="3" t="n">
        <v>0</v>
      </c>
      <c r="O68" s="3" t="n">
        <v>283.683410833333</v>
      </c>
      <c r="P68" s="3" t="n">
        <v>-150</v>
      </c>
      <c r="Q68" s="3" t="n">
        <v>490.786535</v>
      </c>
      <c r="R68" s="3" t="n">
        <v>-120.09188168305</v>
      </c>
      <c r="S68" s="3" t="n">
        <v>283.098864166666</v>
      </c>
      <c r="T68" s="168" t="n">
        <v>90</v>
      </c>
      <c r="U68" s="168" t="n">
        <v>490.495413333333</v>
      </c>
      <c r="V68" s="168" t="n">
        <v>120.003403253566</v>
      </c>
      <c r="W68" s="168" t="n">
        <v>0.251263914166666</v>
      </c>
      <c r="X68" s="168" t="n">
        <v>-105.33493365277</v>
      </c>
      <c r="Y68" s="168" t="n">
        <v>0.3589715925</v>
      </c>
      <c r="Z68" s="3" t="n">
        <v>146.336548478814</v>
      </c>
      <c r="AA68" s="3" t="n">
        <v>0.365955711666666</v>
      </c>
      <c r="AB68" s="168" t="n">
        <v>5.92575308253314</v>
      </c>
      <c r="AC68" s="3" t="n">
        <v>16.9307525</v>
      </c>
      <c r="AD68" s="168" t="n">
        <v>44.8416995833333</v>
      </c>
      <c r="AE68" s="168" t="n">
        <v>10.5717888333333</v>
      </c>
      <c r="AF68" s="168" t="n">
        <v>123.607841666666</v>
      </c>
      <c r="AG68" s="3" t="n">
        <v>-0.046090468903543</v>
      </c>
      <c r="AH68" s="168" t="n">
        <v>0.473108754166666</v>
      </c>
      <c r="AI68" s="168" t="n">
        <v>-70.2334559211231</v>
      </c>
      <c r="AJ68" s="168" t="n">
        <v>19.8214910833333</v>
      </c>
      <c r="AK68" s="168" t="n">
        <v>0.2485847825</v>
      </c>
      <c r="AL68" s="168" t="n">
        <v>0.170703530833333</v>
      </c>
      <c r="AM68" s="168" t="n">
        <v>0.221368825</v>
      </c>
      <c r="AN68" s="3" t="n">
        <v>0</v>
      </c>
      <c r="AO68" s="3" t="n">
        <v>0</v>
      </c>
      <c r="AP68" s="3" t="n">
        <v>0</v>
      </c>
      <c r="AQ68" s="168" t="n">
        <v>2.7909726475E-006</v>
      </c>
      <c r="AR68" s="168" t="n">
        <v>4.50859663433333E-007</v>
      </c>
      <c r="AS68" s="168" t="n">
        <v>-7.84190749166666E-006</v>
      </c>
      <c r="AT68" s="168" t="n">
        <v>24.5513909916666</v>
      </c>
      <c r="AU68" s="168" t="n">
        <v>18.85607105</v>
      </c>
      <c r="AV68" s="168" t="n">
        <v>24.551637675</v>
      </c>
      <c r="AW68" s="168" t="n">
        <v>18.7569199166666</v>
      </c>
      <c r="AX68" s="168" t="n">
        <v>24.5513303416666</v>
      </c>
      <c r="AY68" s="168" t="n">
        <v>18.83513695</v>
      </c>
      <c r="AZ68" s="168" t="n">
        <v>0.061083346654236</v>
      </c>
      <c r="BA68" s="168" t="n">
        <v>0.00646475570836004</v>
      </c>
      <c r="BB68" s="168" t="n">
        <v>0.0494014969134647</v>
      </c>
      <c r="BC68" s="168" t="n">
        <v>0.00704826965015344</v>
      </c>
      <c r="BD68" s="168" t="n">
        <v>0.0608149622391657</v>
      </c>
      <c r="BE68" s="168" t="n">
        <v>0.0125567507927109</v>
      </c>
      <c r="BF68" s="168" t="n">
        <v>1.49968112468922</v>
      </c>
      <c r="BG68" s="3" t="n">
        <v>0.121899899837203</v>
      </c>
      <c r="BH68" s="3" t="n">
        <v>1.21288765643167</v>
      </c>
      <c r="BI68" s="168" t="n">
        <v>0.132203833892502</v>
      </c>
      <c r="BJ68" s="168" t="n">
        <v>1.49308822425611</v>
      </c>
      <c r="BK68" s="168" t="n">
        <v>0.236508109655534</v>
      </c>
      <c r="BL68" s="168" t="n">
        <v>1.90634166666666E-006</v>
      </c>
      <c r="BM68" s="168" t="n">
        <v>1.3784E-006</v>
      </c>
      <c r="BN68" s="168" t="n">
        <v>8.72983333333333E-007</v>
      </c>
      <c r="BO68" s="168" t="n">
        <v>6.42675E-007</v>
      </c>
      <c r="BP68" s="168" t="n">
        <v>2.30788333333333E-006</v>
      </c>
      <c r="BQ68" s="168" t="n">
        <v>5.30458333333333E-007</v>
      </c>
      <c r="BR68" s="168" t="n">
        <v>1.50483333333333E-007</v>
      </c>
      <c r="BS68" s="168" t="n">
        <v>4.25467180555555E-031</v>
      </c>
      <c r="BT68" s="168" t="n">
        <v>2.291737E-031</v>
      </c>
      <c r="BU68" s="168" t="n">
        <v>1.01227235185185E-031</v>
      </c>
      <c r="BV68" s="168" t="n">
        <v>6.55742527777777E-032</v>
      </c>
      <c r="BW68" s="3" t="n">
        <v>6.14699374074074E-031</v>
      </c>
      <c r="BX68" s="3" t="n">
        <v>4.87921231481481E-032</v>
      </c>
      <c r="BY68" s="3" t="n">
        <v>1.85012111111111E-032</v>
      </c>
      <c r="BZ68" s="169"/>
      <c r="CA68" s="169"/>
      <c r="CB68" s="169"/>
      <c r="CC68" s="169"/>
      <c r="CD68" s="169"/>
      <c r="CE68" s="169"/>
      <c r="CF68" s="169"/>
    </row>
    <row r="69" customFormat="false" ht="12.75" hidden="true" customHeight="false" outlineLevel="0" collapsed="false">
      <c r="A69" s="3" t="n">
        <v>5</v>
      </c>
      <c r="B69" s="3" t="n">
        <v>5.2</v>
      </c>
      <c r="C69" s="3" t="s">
        <v>313</v>
      </c>
      <c r="D69" s="3" t="s">
        <v>246</v>
      </c>
      <c r="E69" s="3" t="n">
        <v>293.261547833333</v>
      </c>
      <c r="F69" s="3" t="n">
        <v>238.72291</v>
      </c>
      <c r="G69" s="3" t="n">
        <v>196.996553928332</v>
      </c>
      <c r="H69" s="3" t="n">
        <v>54.5386378333333</v>
      </c>
      <c r="I69" s="3" t="n">
        <v>41.7263560716671</v>
      </c>
      <c r="J69" s="3" t="n">
        <v>96.2649939050004</v>
      </c>
      <c r="K69" s="3" t="n">
        <v>282.932354166666</v>
      </c>
      <c r="L69" s="3" t="n">
        <v>-29.9999999999999</v>
      </c>
      <c r="M69" s="3" t="n">
        <v>491.33722</v>
      </c>
      <c r="N69" s="3" t="n">
        <v>0</v>
      </c>
      <c r="O69" s="168" t="n">
        <v>284.00558</v>
      </c>
      <c r="P69" s="3" t="n">
        <v>-150</v>
      </c>
      <c r="Q69" s="3" t="n">
        <v>491.2053025</v>
      </c>
      <c r="R69" s="3" t="n">
        <v>-120.291130482276</v>
      </c>
      <c r="S69" s="168" t="n">
        <v>282.855986666666</v>
      </c>
      <c r="T69" s="168" t="n">
        <v>90</v>
      </c>
      <c r="U69" s="3" t="n">
        <v>489.380319166666</v>
      </c>
      <c r="V69" s="168" t="n">
        <v>119.89058092385</v>
      </c>
      <c r="W69" s="3" t="n">
        <v>0.430356598333333</v>
      </c>
      <c r="X69" s="168" t="n">
        <v>-27.0578546227526</v>
      </c>
      <c r="Y69" s="168" t="n">
        <v>0.761976515</v>
      </c>
      <c r="Z69" s="3" t="n">
        <v>169.554149417241</v>
      </c>
      <c r="AA69" s="3" t="n">
        <v>0.365654033333333</v>
      </c>
      <c r="AB69" s="168" t="n">
        <v>5.77602292490907</v>
      </c>
      <c r="AC69" s="3" t="n">
        <v>118.207963333333</v>
      </c>
      <c r="AD69" s="168" t="n">
        <v>164.452081666666</v>
      </c>
      <c r="AE69" s="168" t="n">
        <v>10.6015028333333</v>
      </c>
      <c r="AF69" s="3" t="n">
        <v>122.738248333333</v>
      </c>
      <c r="AG69" s="3" t="n">
        <v>-0.225899030458023</v>
      </c>
      <c r="AH69" s="168" t="n">
        <v>2.07606846666666</v>
      </c>
      <c r="AI69" s="168" t="n">
        <v>-20.6957223584759</v>
      </c>
      <c r="AJ69" s="168" t="n">
        <v>238.72291</v>
      </c>
      <c r="AK69" s="168" t="n">
        <v>24.4003330833333</v>
      </c>
      <c r="AL69" s="168" t="n">
        <v>24.2876166666666</v>
      </c>
      <c r="AM69" s="168" t="n">
        <v>24.32126525</v>
      </c>
      <c r="AN69" s="3" t="n">
        <v>1.265581325</v>
      </c>
      <c r="AO69" s="3" t="n">
        <v>1.29070826666666</v>
      </c>
      <c r="AP69" s="3" t="n">
        <v>1.24690785</v>
      </c>
      <c r="AQ69" s="168" t="n">
        <v>30.8804834166666</v>
      </c>
      <c r="AR69" s="168" t="n">
        <v>31.3480994166666</v>
      </c>
      <c r="AS69" s="168" t="n">
        <v>30.3262855</v>
      </c>
      <c r="AT69" s="168" t="n">
        <v>24.4626257083333</v>
      </c>
      <c r="AU69" s="168" t="n">
        <v>18.577334125</v>
      </c>
      <c r="AV69" s="168" t="n">
        <v>24.4605453416666</v>
      </c>
      <c r="AW69" s="168" t="n">
        <v>18.6635666916666</v>
      </c>
      <c r="AX69" s="168" t="n">
        <v>24.4544880583333</v>
      </c>
      <c r="AY69" s="168" t="n">
        <v>18.7684708916666</v>
      </c>
      <c r="AZ69" s="168" t="n">
        <v>0.345567796719824</v>
      </c>
      <c r="BA69" s="168" t="n">
        <v>0.310497167988488</v>
      </c>
      <c r="BB69" s="168" t="n">
        <v>0.347212314216463</v>
      </c>
      <c r="BC69" s="3" t="n">
        <v>0.326526198324888</v>
      </c>
      <c r="BD69" s="168" t="n">
        <v>0.333368918486027</v>
      </c>
      <c r="BE69" s="3" t="n">
        <v>0.36628423980031</v>
      </c>
      <c r="BF69" s="3" t="n">
        <v>8.45349567619614</v>
      </c>
      <c r="BG69" s="3" t="n">
        <v>5.76821016096411</v>
      </c>
      <c r="BH69" s="3" t="n">
        <v>8.49300257187349</v>
      </c>
      <c r="BI69" s="168" t="n">
        <v>6.09414392564441</v>
      </c>
      <c r="BJ69" s="168" t="n">
        <v>8.15236536289415</v>
      </c>
      <c r="BK69" s="168" t="n">
        <v>6.87458867610185</v>
      </c>
      <c r="BL69" s="168" t="n">
        <v>24.3355660083333</v>
      </c>
      <c r="BM69" s="168" t="n">
        <v>9.7858425E-005</v>
      </c>
      <c r="BN69" s="168" t="n">
        <v>2.29284333333333E-005</v>
      </c>
      <c r="BO69" s="168" t="n">
        <v>9.81520833333333E-006</v>
      </c>
      <c r="BP69" s="168" t="n">
        <v>0.0574836966666666</v>
      </c>
      <c r="BQ69" s="168" t="n">
        <v>-2.26474083333333E-005</v>
      </c>
      <c r="BR69" s="168" t="n">
        <v>-0.000112989425</v>
      </c>
      <c r="BS69" s="168" t="n">
        <v>85.7047428322891</v>
      </c>
      <c r="BT69" s="168" t="n">
        <v>1.06967414823981E-027</v>
      </c>
      <c r="BU69" s="168" t="n">
        <v>5.92022251037037E-029</v>
      </c>
      <c r="BV69" s="168" t="n">
        <v>1.12732469231481E-029</v>
      </c>
      <c r="BW69" s="3" t="n">
        <v>1.91337487821001E-021</v>
      </c>
      <c r="BX69" s="3" t="n">
        <v>5.75839656546296E-029</v>
      </c>
      <c r="BY69" s="3" t="n">
        <v>1.42004024600277E-027</v>
      </c>
      <c r="BZ69" s="169"/>
      <c r="CA69" s="169"/>
      <c r="CB69" s="169"/>
      <c r="CC69" s="169"/>
      <c r="CD69" s="169"/>
      <c r="CE69" s="169"/>
      <c r="CF69" s="169"/>
    </row>
    <row r="70" customFormat="false" ht="12.75" hidden="true" customHeight="false" outlineLevel="0" collapsed="false">
      <c r="A70" s="3" t="n">
        <v>5</v>
      </c>
      <c r="B70" s="3" t="n">
        <v>5.2</v>
      </c>
      <c r="C70" s="3" t="s">
        <v>314</v>
      </c>
      <c r="D70" s="3" t="s">
        <v>246</v>
      </c>
      <c r="E70" s="3" t="n">
        <v>294.223817249999</v>
      </c>
      <c r="F70" s="3" t="n">
        <v>239.743775</v>
      </c>
      <c r="G70" s="3" t="n">
        <v>198.09566892842</v>
      </c>
      <c r="H70" s="3" t="n">
        <v>54.4800422499999</v>
      </c>
      <c r="I70" s="3" t="n">
        <v>41.6481060715792</v>
      </c>
      <c r="J70" s="3" t="n">
        <v>96.1281483215792</v>
      </c>
      <c r="K70" s="3" t="n">
        <v>282.972693333333</v>
      </c>
      <c r="L70" s="3" t="n">
        <v>-29.9999999999999</v>
      </c>
      <c r="M70" s="3" t="n">
        <v>491.329853333333</v>
      </c>
      <c r="N70" s="3" t="n">
        <v>0</v>
      </c>
      <c r="O70" s="3" t="n">
        <v>283.891078333333</v>
      </c>
      <c r="P70" s="3" t="n">
        <v>-150</v>
      </c>
      <c r="Q70" s="3" t="n">
        <v>490.892505833333</v>
      </c>
      <c r="R70" s="3" t="n">
        <v>-120.217625582688</v>
      </c>
      <c r="S70" s="3" t="n">
        <v>282.719566666666</v>
      </c>
      <c r="T70" s="3" t="n">
        <v>90</v>
      </c>
      <c r="U70" s="3" t="n">
        <v>489.3340625</v>
      </c>
      <c r="V70" s="3" t="n">
        <v>119.905086264744</v>
      </c>
      <c r="W70" s="3" t="n">
        <v>0.4323311625</v>
      </c>
      <c r="X70" s="168" t="n">
        <v>-26.9338405352165</v>
      </c>
      <c r="Y70" s="3" t="n">
        <v>0.7637285475</v>
      </c>
      <c r="Z70" s="3" t="n">
        <v>169.694497354403</v>
      </c>
      <c r="AA70" s="3" t="n">
        <v>0.365214952499999</v>
      </c>
      <c r="AB70" s="3" t="n">
        <v>5.78132920376067</v>
      </c>
      <c r="AC70" s="3" t="n">
        <v>118.677804999999</v>
      </c>
      <c r="AD70" s="3" t="n">
        <v>164.957283333333</v>
      </c>
      <c r="AE70" s="3" t="n">
        <v>10.5887289166666</v>
      </c>
      <c r="AF70" s="3" t="n">
        <v>122.731285</v>
      </c>
      <c r="AG70" s="3" t="n">
        <v>-0.227716456649787</v>
      </c>
      <c r="AH70" s="168" t="n">
        <v>2.086107925</v>
      </c>
      <c r="AI70" s="3" t="n">
        <v>-20.7743355017319</v>
      </c>
      <c r="AJ70" s="3" t="n">
        <v>239.743775</v>
      </c>
      <c r="AK70" s="3" t="n">
        <v>24.3993868333333</v>
      </c>
      <c r="AL70" s="3" t="n">
        <v>24.2840773333333</v>
      </c>
      <c r="AM70" s="3" t="n">
        <v>24.3198875833333</v>
      </c>
      <c r="AN70" s="3" t="n">
        <v>1.28429889166666</v>
      </c>
      <c r="AO70" s="3" t="n">
        <v>1.305678425</v>
      </c>
      <c r="AP70" s="3" t="n">
        <v>1.26255631666666</v>
      </c>
      <c r="AQ70" s="168" t="n">
        <v>31.3359851666666</v>
      </c>
      <c r="AR70" s="3" t="n">
        <v>31.7070711666666</v>
      </c>
      <c r="AS70" s="168" t="n">
        <v>30.7051364166666</v>
      </c>
      <c r="AT70" s="3" t="n">
        <v>24.4625152833333</v>
      </c>
      <c r="AU70" s="168" t="n">
        <v>18.5635564166666</v>
      </c>
      <c r="AV70" s="3" t="n">
        <v>24.4603950083333</v>
      </c>
      <c r="AW70" s="168" t="n">
        <v>18.6570891416666</v>
      </c>
      <c r="AX70" s="168" t="n">
        <v>24.4544780833333</v>
      </c>
      <c r="AY70" s="168" t="n">
        <v>18.7632405</v>
      </c>
      <c r="AZ70" s="168" t="n">
        <v>0.345781631711431</v>
      </c>
      <c r="BA70" s="3" t="n">
        <v>0.310419210633215</v>
      </c>
      <c r="BB70" s="3" t="n">
        <v>0.346310960411975</v>
      </c>
      <c r="BC70" s="3" t="n">
        <v>0.3267703195351</v>
      </c>
      <c r="BD70" s="3" t="n">
        <v>0.32926502820151</v>
      </c>
      <c r="BE70" s="3" t="n">
        <v>0.361701340349849</v>
      </c>
      <c r="BF70" s="3" t="n">
        <v>8.45868844681363</v>
      </c>
      <c r="BG70" s="3" t="n">
        <v>5.76248560117683</v>
      </c>
      <c r="BH70" s="3" t="n">
        <v>8.4709029000552</v>
      </c>
      <c r="BI70" s="168" t="n">
        <v>6.09658316840906</v>
      </c>
      <c r="BJ70" s="168" t="n">
        <v>8.05200435355269</v>
      </c>
      <c r="BK70" s="168" t="n">
        <v>6.7866892982661</v>
      </c>
      <c r="BL70" s="168" t="n">
        <v>24.335136575</v>
      </c>
      <c r="BM70" s="3" t="n">
        <v>0.000113562216666666</v>
      </c>
      <c r="BN70" s="168" t="n">
        <v>3.35400666666666E-005</v>
      </c>
      <c r="BO70" s="168" t="n">
        <v>1.7926025E-005</v>
      </c>
      <c r="BP70" s="3" t="n">
        <v>-2.5514E-005</v>
      </c>
      <c r="BQ70" s="168" t="n">
        <v>-2.744865E-005</v>
      </c>
      <c r="BR70" s="168" t="n">
        <v>-0.000115428675</v>
      </c>
      <c r="BS70" s="168" t="n">
        <v>85.7017181105687</v>
      </c>
      <c r="BT70" s="168" t="n">
        <v>1.43304817637777E-027</v>
      </c>
      <c r="BU70" s="168" t="n">
        <v>1.25104400814814E-028</v>
      </c>
      <c r="BV70" s="168" t="n">
        <v>3.57502909972222E-029</v>
      </c>
      <c r="BW70" s="3" t="n">
        <v>7.23993322481481E-029</v>
      </c>
      <c r="BX70" s="3" t="n">
        <v>8.37285671907407E-029</v>
      </c>
      <c r="BY70" s="3" t="n">
        <v>1.48045431206759E-027</v>
      </c>
      <c r="BZ70" s="169"/>
      <c r="CA70" s="169"/>
      <c r="CB70" s="169"/>
      <c r="CC70" s="169"/>
      <c r="CD70" s="169"/>
      <c r="CE70" s="169"/>
      <c r="CF70" s="169"/>
    </row>
    <row r="71" customFormat="false" ht="12.75" hidden="true" customHeight="false" outlineLevel="0" collapsed="false">
      <c r="A71" s="3" t="n">
        <v>5</v>
      </c>
      <c r="B71" s="3" t="n">
        <v>5.2</v>
      </c>
      <c r="C71" s="3" t="s">
        <v>315</v>
      </c>
      <c r="D71" s="3" t="s">
        <v>246</v>
      </c>
      <c r="E71" s="3" t="n">
        <v>295.066758916666</v>
      </c>
      <c r="F71" s="3" t="n">
        <v>240.638373333333</v>
      </c>
      <c r="G71" s="3" t="n">
        <v>198.823285142236</v>
      </c>
      <c r="H71" s="3" t="n">
        <v>54.4283855833333</v>
      </c>
      <c r="I71" s="3" t="n">
        <v>41.8150881910965</v>
      </c>
      <c r="J71" s="3" t="n">
        <v>96.2434737744298</v>
      </c>
      <c r="K71" s="3" t="n">
        <v>282.939343333333</v>
      </c>
      <c r="L71" s="3" t="n">
        <v>-29.9999999999999</v>
      </c>
      <c r="M71" s="3" t="n">
        <v>491.2467175</v>
      </c>
      <c r="N71" s="3" t="n">
        <v>0</v>
      </c>
      <c r="O71" s="3" t="n">
        <v>283.782326666666</v>
      </c>
      <c r="P71" s="3" t="n">
        <v>-150</v>
      </c>
      <c r="Q71" s="3" t="n">
        <v>490.6238925</v>
      </c>
      <c r="R71" s="3" t="n">
        <v>-120.26840765294</v>
      </c>
      <c r="S71" s="3" t="n">
        <v>282.5788925</v>
      </c>
      <c r="T71" s="3" t="n">
        <v>90</v>
      </c>
      <c r="U71" s="3" t="n">
        <v>489.221243333333</v>
      </c>
      <c r="V71" s="3" t="n">
        <v>119.90993652364</v>
      </c>
      <c r="W71" s="3" t="n">
        <v>0.434082150833333</v>
      </c>
      <c r="X71" s="3" t="n">
        <v>-26.8262558170205</v>
      </c>
      <c r="Y71" s="3" t="n">
        <v>0.765552555</v>
      </c>
      <c r="Z71" s="3" t="n">
        <v>169.690532009938</v>
      </c>
      <c r="AA71" s="3" t="n">
        <v>0.365128649166666</v>
      </c>
      <c r="AB71" s="3" t="n">
        <v>5.77730934427003</v>
      </c>
      <c r="AC71" s="3" t="n">
        <v>119.089735833333</v>
      </c>
      <c r="AD71" s="3" t="n">
        <v>165.413278333333</v>
      </c>
      <c r="AE71" s="3" t="n">
        <v>10.56374475</v>
      </c>
      <c r="AF71" s="3" t="n">
        <v>122.70505</v>
      </c>
      <c r="AG71" s="3" t="n">
        <v>-0.227795977228296</v>
      </c>
      <c r="AH71" s="3" t="n">
        <v>2.09450434166666</v>
      </c>
      <c r="AI71" s="3" t="n">
        <v>-20.7864079502341</v>
      </c>
      <c r="AJ71" s="3" t="n">
        <v>240.638373333333</v>
      </c>
      <c r="AK71" s="3" t="n">
        <v>24.398683</v>
      </c>
      <c r="AL71" s="3" t="n">
        <v>24.2826926666666</v>
      </c>
      <c r="AM71" s="3" t="n">
        <v>24.3188979166666</v>
      </c>
      <c r="AN71" s="168" t="n">
        <v>1.29294629166666</v>
      </c>
      <c r="AO71" s="168" t="n">
        <v>1.314459675</v>
      </c>
      <c r="AP71" s="168" t="n">
        <v>1.27364184166666</v>
      </c>
      <c r="AQ71" s="3" t="n">
        <v>31.54606675</v>
      </c>
      <c r="AR71" s="3" t="n">
        <v>31.9184950833333</v>
      </c>
      <c r="AS71" s="3" t="n">
        <v>30.9734768333333</v>
      </c>
      <c r="AT71" s="3" t="n">
        <v>24.46253185</v>
      </c>
      <c r="AU71" s="3" t="n">
        <v>18.572867325</v>
      </c>
      <c r="AV71" s="3" t="n">
        <v>24.46044485</v>
      </c>
      <c r="AW71" s="3" t="n">
        <v>18.6522492</v>
      </c>
      <c r="AX71" s="3" t="n">
        <v>24.4543334416666</v>
      </c>
      <c r="AY71" s="3" t="n">
        <v>18.75820365</v>
      </c>
      <c r="AZ71" s="3" t="n">
        <v>0.346425552076373</v>
      </c>
      <c r="BA71" s="3" t="n">
        <v>0.310500254340396</v>
      </c>
      <c r="BB71" s="3" t="n">
        <v>0.346653192366702</v>
      </c>
      <c r="BC71" s="3" t="n">
        <v>0.32566981252863</v>
      </c>
      <c r="BD71" s="3" t="n">
        <v>0.331793682915139</v>
      </c>
      <c r="BE71" s="3" t="n">
        <v>0.364847230351444</v>
      </c>
      <c r="BF71" s="3" t="n">
        <v>8.47444611881975</v>
      </c>
      <c r="BG71" s="3" t="n">
        <v>5.76688032181601</v>
      </c>
      <c r="BH71" s="3" t="n">
        <v>8.47929127997849</v>
      </c>
      <c r="BI71" s="168" t="n">
        <v>6.07447465304606</v>
      </c>
      <c r="BJ71" s="168" t="n">
        <v>8.11379322325602</v>
      </c>
      <c r="BK71" s="168" t="n">
        <v>6.8438777223789</v>
      </c>
      <c r="BL71" s="168" t="n">
        <v>24.3348946</v>
      </c>
      <c r="BM71" s="168" t="n">
        <v>0.00011631905</v>
      </c>
      <c r="BN71" s="168" t="n">
        <v>3.74633083333333E-005</v>
      </c>
      <c r="BO71" s="168" t="n">
        <v>1.91598416666666E-005</v>
      </c>
      <c r="BP71" s="168" t="n">
        <v>-2.83007083333333E-005</v>
      </c>
      <c r="BQ71" s="168" t="n">
        <v>-2.793825E-005</v>
      </c>
      <c r="BR71" s="168" t="n">
        <v>-0.000114825075</v>
      </c>
      <c r="BS71" s="168" t="n">
        <v>85.7000137783291</v>
      </c>
      <c r="BT71" s="168" t="n">
        <v>1.50337006120925E-027</v>
      </c>
      <c r="BU71" s="168" t="n">
        <v>1.55975867832407E-028</v>
      </c>
      <c r="BV71" s="168" t="n">
        <v>4.08107287601851E-029</v>
      </c>
      <c r="BW71" s="3" t="n">
        <v>8.90185371324074E-029</v>
      </c>
      <c r="BX71" s="3" t="n">
        <v>8.675334035E-029</v>
      </c>
      <c r="BY71" s="3" t="n">
        <v>1.46504505983981E-027</v>
      </c>
      <c r="BZ71" s="169"/>
      <c r="CA71" s="169"/>
      <c r="CB71" s="169"/>
      <c r="CC71" s="169"/>
      <c r="CD71" s="169"/>
      <c r="CE71" s="169"/>
      <c r="CF71" s="169"/>
    </row>
    <row r="72" customFormat="false" ht="12.75" hidden="true" customHeight="false" outlineLevel="0" collapsed="false">
      <c r="A72" s="3" t="n">
        <v>5</v>
      </c>
      <c r="B72" s="3" t="n">
        <v>5.3</v>
      </c>
      <c r="C72" s="3" t="s">
        <v>316</v>
      </c>
      <c r="D72" s="3" t="s">
        <v>246</v>
      </c>
      <c r="E72" s="3" t="n">
        <v>693.704166333333</v>
      </c>
      <c r="F72" s="3" t="n">
        <v>628.21467</v>
      </c>
      <c r="G72" s="3" t="n">
        <v>550.853648294448</v>
      </c>
      <c r="H72" s="3" t="n">
        <v>65.4894963333333</v>
      </c>
      <c r="I72" s="168" t="n">
        <v>77.3610217055511</v>
      </c>
      <c r="J72" s="3" t="n">
        <v>142.850518038884</v>
      </c>
      <c r="K72" s="3" t="n">
        <v>280.6929975</v>
      </c>
      <c r="L72" s="3" t="n">
        <v>-29.9999999999999</v>
      </c>
      <c r="M72" s="168" t="n">
        <v>486.286716666666</v>
      </c>
      <c r="N72" s="3" t="n">
        <v>0</v>
      </c>
      <c r="O72" s="168" t="n">
        <v>280.728135</v>
      </c>
      <c r="P72" s="3" t="n">
        <v>-150</v>
      </c>
      <c r="Q72" s="3" t="n">
        <v>486.0718625</v>
      </c>
      <c r="R72" s="3" t="n">
        <v>-120.022621574183</v>
      </c>
      <c r="S72" s="3" t="n">
        <v>280.568925833333</v>
      </c>
      <c r="T72" s="3" t="n">
        <v>90</v>
      </c>
      <c r="U72" s="3" t="n">
        <v>486.042050833333</v>
      </c>
      <c r="V72" s="3" t="n">
        <v>119.996074112085</v>
      </c>
      <c r="W72" s="3" t="n">
        <v>1.22798341666666</v>
      </c>
      <c r="X72" s="168" t="n">
        <v>-8.09828996168462</v>
      </c>
      <c r="Y72" s="3" t="n">
        <v>1.576597625</v>
      </c>
      <c r="Z72" s="3" t="n">
        <v>178.857627200775</v>
      </c>
      <c r="AA72" s="3" t="n">
        <v>0.35736507</v>
      </c>
      <c r="AB72" s="3" t="n">
        <v>6.33659304813113</v>
      </c>
      <c r="AC72" s="3" t="n">
        <v>304.97455</v>
      </c>
      <c r="AD72" s="168" t="n">
        <v>377.812579166666</v>
      </c>
      <c r="AE72" s="3" t="n">
        <v>10.9170371666666</v>
      </c>
      <c r="AF72" s="3" t="n">
        <v>119.911066666666</v>
      </c>
      <c r="AG72" s="3" t="n">
        <v>-0.559406525275093</v>
      </c>
      <c r="AH72" s="3" t="n">
        <v>5.38229372499999</v>
      </c>
      <c r="AI72" s="168" t="n">
        <v>-13.8097551708834</v>
      </c>
      <c r="AJ72" s="168" t="n">
        <v>628.21467</v>
      </c>
      <c r="AK72" s="168" t="n">
        <v>24.18009925</v>
      </c>
      <c r="AL72" s="168" t="n">
        <v>24.3161943333333</v>
      </c>
      <c r="AM72" s="3" t="n">
        <v>24.3133921666666</v>
      </c>
      <c r="AN72" s="3" t="n">
        <v>1.22567026666666</v>
      </c>
      <c r="AO72" s="3" t="n">
        <v>1.21180851666666</v>
      </c>
      <c r="AP72" s="3" t="n">
        <v>1.23849735</v>
      </c>
      <c r="AQ72" s="168" t="n">
        <v>29.6366940833333</v>
      </c>
      <c r="AR72" s="168" t="n">
        <v>29.46644675</v>
      </c>
      <c r="AS72" s="168" t="n">
        <v>30.1119675</v>
      </c>
      <c r="AT72" s="168" t="n">
        <v>24.3035719833333</v>
      </c>
      <c r="AU72" s="168" t="n">
        <v>18.3497157666666</v>
      </c>
      <c r="AV72" s="168" t="n">
        <v>24.3223681333333</v>
      </c>
      <c r="AW72" s="168" t="n">
        <v>18.1880879416666</v>
      </c>
      <c r="AX72" s="168" t="n">
        <v>24.2768814833333</v>
      </c>
      <c r="AY72" s="168" t="n">
        <v>18.480851</v>
      </c>
      <c r="AZ72" s="168" t="n">
        <v>1.94020239287936</v>
      </c>
      <c r="BA72" s="3" t="n">
        <v>2.28723872955352</v>
      </c>
      <c r="BB72" s="3" t="n">
        <v>1.82317854940045</v>
      </c>
      <c r="BC72" s="3" t="n">
        <v>2.22725586734868</v>
      </c>
      <c r="BD72" s="3" t="n">
        <v>1.80930417626397</v>
      </c>
      <c r="BE72" s="3" t="n">
        <v>2.25412490307486</v>
      </c>
      <c r="BF72" s="3" t="n">
        <v>47.1538483998325</v>
      </c>
      <c r="BG72" s="3" t="n">
        <v>41.970180727764</v>
      </c>
      <c r="BH72" s="3" t="n">
        <v>44.3440198414037</v>
      </c>
      <c r="BI72" s="168" t="n">
        <v>40.5095257969192</v>
      </c>
      <c r="BJ72" s="168" t="n">
        <v>43.9242662687837</v>
      </c>
      <c r="BK72" s="168" t="n">
        <v>41.6581271706454</v>
      </c>
      <c r="BL72" s="168" t="n">
        <v>24.2422311083333</v>
      </c>
      <c r="BM72" s="168" t="n">
        <v>24.2587658166666</v>
      </c>
      <c r="BN72" s="168" t="n">
        <v>24.27779555</v>
      </c>
      <c r="BO72" s="168" t="n">
        <v>24.2778412083333</v>
      </c>
      <c r="BP72" s="168" t="n">
        <v>-0.000249525025</v>
      </c>
      <c r="BQ72" s="168" t="n">
        <v>-0.000202959858333333</v>
      </c>
      <c r="BR72" s="168" t="n">
        <v>-0.000239408008333333</v>
      </c>
      <c r="BS72" s="168" t="n">
        <v>85.0485917875615</v>
      </c>
      <c r="BT72" s="168" t="n">
        <v>84.9188627665029</v>
      </c>
      <c r="BU72" s="168" t="n">
        <v>85.6702553481958</v>
      </c>
      <c r="BV72" s="3" t="n">
        <v>81.8629963635263</v>
      </c>
      <c r="BW72" s="3" t="n">
        <v>6.98317194325277E-027</v>
      </c>
      <c r="BX72" s="3" t="n">
        <v>4.6245462395824E-027</v>
      </c>
      <c r="BY72" s="3" t="n">
        <v>6.39205019856944E-027</v>
      </c>
      <c r="BZ72" s="169"/>
      <c r="CA72" s="169"/>
      <c r="CB72" s="169"/>
      <c r="CC72" s="169"/>
      <c r="CD72" s="169"/>
      <c r="CE72" s="169"/>
      <c r="CF72" s="169"/>
    </row>
    <row r="73" customFormat="false" ht="12.75" hidden="true" customHeight="false" outlineLevel="0" collapsed="false">
      <c r="A73" s="3" t="n">
        <v>5</v>
      </c>
      <c r="B73" s="3" t="n">
        <v>5.3</v>
      </c>
      <c r="C73" s="3" t="s">
        <v>317</v>
      </c>
      <c r="D73" s="3" t="s">
        <v>246</v>
      </c>
      <c r="E73" s="3" t="n">
        <v>692.563098083333</v>
      </c>
      <c r="F73" s="3" t="n">
        <v>627.098306666666</v>
      </c>
      <c r="G73" s="3" t="n">
        <v>552.25614213751</v>
      </c>
      <c r="H73" s="3" t="n">
        <v>65.4647914166667</v>
      </c>
      <c r="I73" s="3" t="n">
        <v>74.8421645291562</v>
      </c>
      <c r="J73" s="3" t="n">
        <v>140.306955945822</v>
      </c>
      <c r="K73" s="3" t="n">
        <v>280.480490833333</v>
      </c>
      <c r="L73" s="3" t="n">
        <v>-29.9999999999999</v>
      </c>
      <c r="M73" s="3" t="n">
        <v>485.998128333333</v>
      </c>
      <c r="N73" s="3" t="n">
        <v>0</v>
      </c>
      <c r="O73" s="3" t="n">
        <v>280.690905</v>
      </c>
      <c r="P73" s="3" t="n">
        <v>-150</v>
      </c>
      <c r="Q73" s="3" t="n">
        <v>486.152099166666</v>
      </c>
      <c r="R73" s="3" t="n">
        <v>-119.999246350015</v>
      </c>
      <c r="S73" s="3" t="n">
        <v>280.569429166666</v>
      </c>
      <c r="T73" s="3" t="n">
        <v>90</v>
      </c>
      <c r="U73" s="3" t="n">
        <v>485.819835</v>
      </c>
      <c r="V73" s="3" t="n">
        <v>120.002154781032</v>
      </c>
      <c r="W73" s="3" t="n">
        <v>1.22655980833333</v>
      </c>
      <c r="X73" s="3" t="n">
        <v>-8.11455202700748</v>
      </c>
      <c r="Y73" s="3" t="n">
        <v>1.57519313333333</v>
      </c>
      <c r="Z73" s="3" t="n">
        <v>178.914371379965</v>
      </c>
      <c r="AA73" s="3" t="n">
        <v>0.3573615025</v>
      </c>
      <c r="AB73" s="3" t="n">
        <v>6.33353262037851</v>
      </c>
      <c r="AC73" s="3" t="n">
        <v>304.200386666666</v>
      </c>
      <c r="AD73" s="3" t="n">
        <v>377.4705525</v>
      </c>
      <c r="AE73" s="3" t="n">
        <v>10.8921589166666</v>
      </c>
      <c r="AF73" s="3" t="n">
        <v>119.827310833333</v>
      </c>
      <c r="AG73" s="3" t="n">
        <v>-0.562011164566286</v>
      </c>
      <c r="AH73" s="3" t="n">
        <v>5.37733598333333</v>
      </c>
      <c r="AI73" s="3" t="n">
        <v>-13.8508138540551</v>
      </c>
      <c r="AJ73" s="3" t="n">
        <v>627.098306666666</v>
      </c>
      <c r="AK73" s="3" t="n">
        <v>24.1710381666666</v>
      </c>
      <c r="AL73" s="3" t="n">
        <v>24.3146969166666</v>
      </c>
      <c r="AM73" s="3" t="n">
        <v>24.3115893333333</v>
      </c>
      <c r="AN73" s="3" t="n">
        <v>1.25025536666666</v>
      </c>
      <c r="AO73" s="3" t="n">
        <v>1.23388618333333</v>
      </c>
      <c r="AP73" s="3" t="n">
        <v>1.26190051666666</v>
      </c>
      <c r="AQ73" s="3" t="n">
        <v>30.21984125</v>
      </c>
      <c r="AR73" s="3" t="n">
        <v>30.00144725</v>
      </c>
      <c r="AS73" s="3" t="n">
        <v>30.6787055833333</v>
      </c>
      <c r="AT73" s="3" t="n">
        <v>24.3034548416666</v>
      </c>
      <c r="AU73" s="3" t="n">
        <v>18.3529254583333</v>
      </c>
      <c r="AV73" s="3" t="n">
        <v>24.3223265916666</v>
      </c>
      <c r="AW73" s="3" t="n">
        <v>18.1881619</v>
      </c>
      <c r="AX73" s="3" t="n">
        <v>24.277575275</v>
      </c>
      <c r="AY73" s="3" t="n">
        <v>18.4766982083333</v>
      </c>
      <c r="AZ73" s="3" t="n">
        <v>1.94423086229819</v>
      </c>
      <c r="BA73" s="3" t="n">
        <v>2.28736636241255</v>
      </c>
      <c r="BB73" s="3" t="n">
        <v>1.82229160978007</v>
      </c>
      <c r="BC73" s="3" t="n">
        <v>2.22619327734323</v>
      </c>
      <c r="BD73" s="3" t="n">
        <v>1.79850598735325</v>
      </c>
      <c r="BE73" s="3" t="n">
        <v>2.23874454593113</v>
      </c>
      <c r="BF73" s="3" t="n">
        <v>47.251526978993</v>
      </c>
      <c r="BG73" s="3" t="n">
        <v>41.9798644830943</v>
      </c>
      <c r="BH73" s="3" t="n">
        <v>44.3223716824967</v>
      </c>
      <c r="BI73" s="3" t="n">
        <v>40.4903639168183</v>
      </c>
      <c r="BJ73" s="3" t="n">
        <v>43.6633610670249</v>
      </c>
      <c r="BK73" s="3" t="n">
        <v>41.3646046747569</v>
      </c>
      <c r="BL73" s="3" t="n">
        <v>24.2435048</v>
      </c>
      <c r="BM73" s="168" t="n">
        <v>24.25926325</v>
      </c>
      <c r="BN73" s="168" t="n">
        <v>24.27814695</v>
      </c>
      <c r="BO73" s="168" t="n">
        <v>24.2786877333333</v>
      </c>
      <c r="BP73" s="3" t="n">
        <v>-0.000173878366666666</v>
      </c>
      <c r="BQ73" s="3" t="n">
        <v>-0.000251663325</v>
      </c>
      <c r="BR73" s="3" t="n">
        <v>-0.000258865525</v>
      </c>
      <c r="BS73" s="3" t="n">
        <v>85.0575289476641</v>
      </c>
      <c r="BT73" s="168" t="n">
        <v>84.9223453746501</v>
      </c>
      <c r="BU73" s="168" t="n">
        <v>85.672735369973</v>
      </c>
      <c r="BV73" s="168" t="n">
        <v>81.86870528722</v>
      </c>
      <c r="BW73" s="3" t="n">
        <v>3.36918692734814E-027</v>
      </c>
      <c r="BX73" s="3" t="n">
        <v>7.03755228064722E-027</v>
      </c>
      <c r="BY73" s="3" t="n">
        <v>7.44660143588796E-027</v>
      </c>
      <c r="BZ73" s="169"/>
      <c r="CA73" s="169"/>
      <c r="CB73" s="169"/>
      <c r="CC73" s="169"/>
      <c r="CD73" s="169"/>
      <c r="CE73" s="169"/>
      <c r="CF73" s="169"/>
    </row>
    <row r="74" customFormat="false" ht="12.75" hidden="true" customHeight="false" outlineLevel="0" collapsed="false">
      <c r="A74" s="3" t="n">
        <v>5</v>
      </c>
      <c r="B74" s="3" t="n">
        <v>5.3</v>
      </c>
      <c r="C74" s="3" t="s">
        <v>318</v>
      </c>
      <c r="D74" s="3" t="s">
        <v>246</v>
      </c>
      <c r="E74" s="3" t="n">
        <v>692.833465416666</v>
      </c>
      <c r="F74" s="3" t="n">
        <v>627.263651666666</v>
      </c>
      <c r="G74" s="3" t="n">
        <v>553.284508176377</v>
      </c>
      <c r="H74" s="3" t="n">
        <v>65.5698137499999</v>
      </c>
      <c r="I74" s="3" t="n">
        <v>73.9791434902895</v>
      </c>
      <c r="J74" s="3" t="n">
        <v>139.548957240289</v>
      </c>
      <c r="K74" s="3" t="n">
        <v>280.765405</v>
      </c>
      <c r="L74" s="3" t="n">
        <v>-29.9999999999999</v>
      </c>
      <c r="M74" s="3" t="n">
        <v>486.5228925</v>
      </c>
      <c r="N74" s="3" t="n">
        <v>0</v>
      </c>
      <c r="O74" s="3" t="n">
        <v>280.914189999999</v>
      </c>
      <c r="P74" s="3" t="n">
        <v>-150</v>
      </c>
      <c r="Q74" s="3" t="n">
        <v>486.3695075</v>
      </c>
      <c r="R74" s="3" t="n">
        <v>-120.042509628555</v>
      </c>
      <c r="S74" s="3" t="n">
        <v>280.676805833333</v>
      </c>
      <c r="T74" s="3" t="n">
        <v>90</v>
      </c>
      <c r="U74" s="3" t="n">
        <v>486.144055</v>
      </c>
      <c r="V74" s="3" t="n">
        <v>119.986610675367</v>
      </c>
      <c r="W74" s="3" t="n">
        <v>1.22553440833333</v>
      </c>
      <c r="X74" s="3" t="n">
        <v>-8.17289868011182</v>
      </c>
      <c r="Y74" s="3" t="n">
        <v>1.57470134166666</v>
      </c>
      <c r="Z74" s="3" t="n">
        <v>178.855164233581</v>
      </c>
      <c r="AA74" s="3" t="n">
        <v>0.357997678333333</v>
      </c>
      <c r="AB74" s="3" t="n">
        <v>6.28036011135684</v>
      </c>
      <c r="AC74" s="3" t="n">
        <v>304.3550825</v>
      </c>
      <c r="AD74" s="3" t="n">
        <v>377.606959166666</v>
      </c>
      <c r="AE74" s="3" t="n">
        <v>10.87142375</v>
      </c>
      <c r="AF74" s="3" t="n">
        <v>119.950185</v>
      </c>
      <c r="AG74" s="3" t="n">
        <v>-0.562319670835179</v>
      </c>
      <c r="AH74" s="3" t="n">
        <v>5.374124325</v>
      </c>
      <c r="AI74" s="3" t="n">
        <v>-13.8908224186742</v>
      </c>
      <c r="AJ74" s="3" t="n">
        <v>627.263651666666</v>
      </c>
      <c r="AK74" s="3" t="n">
        <v>24.1529383333333</v>
      </c>
      <c r="AL74" s="3" t="n">
        <v>24.31241425</v>
      </c>
      <c r="AM74" s="3" t="n">
        <v>24.3104138333333</v>
      </c>
      <c r="AN74" s="3" t="n">
        <v>1.26288009166666</v>
      </c>
      <c r="AO74" s="3" t="n">
        <v>1.25186665</v>
      </c>
      <c r="AP74" s="3" t="n">
        <v>1.277157275</v>
      </c>
      <c r="AQ74" s="3" t="n">
        <v>30.50213975</v>
      </c>
      <c r="AR74" s="3" t="n">
        <v>30.4357825</v>
      </c>
      <c r="AS74" s="3" t="n">
        <v>31.0481220833333</v>
      </c>
      <c r="AT74" s="3" t="n">
        <v>24.3034457416666</v>
      </c>
      <c r="AU74" s="3" t="n">
        <v>18.3538420083333</v>
      </c>
      <c r="AV74" s="3" t="n">
        <v>24.3223174666666</v>
      </c>
      <c r="AW74" s="3" t="n">
        <v>18.1752889166666</v>
      </c>
      <c r="AX74" s="3" t="n">
        <v>24.2756842333333</v>
      </c>
      <c r="AY74" s="3" t="n">
        <v>18.4713822833333</v>
      </c>
      <c r="AZ74" s="3" t="n">
        <v>1.94743721170892</v>
      </c>
      <c r="BA74" s="3" t="n">
        <v>2.28682290968325</v>
      </c>
      <c r="BB74" s="3" t="n">
        <v>1.82038739596891</v>
      </c>
      <c r="BC74" s="3" t="n">
        <v>2.22416178022885</v>
      </c>
      <c r="BD74" s="3" t="n">
        <v>1.80091895238391</v>
      </c>
      <c r="BE74" s="3" t="n">
        <v>2.23980235709136</v>
      </c>
      <c r="BF74" s="3" t="n">
        <v>47.329434602874</v>
      </c>
      <c r="BG74" s="3" t="n">
        <v>41.9719863963087</v>
      </c>
      <c r="BH74" s="3" t="n">
        <v>44.2760401562983</v>
      </c>
      <c r="BI74" s="3" t="n">
        <v>40.4247843158246</v>
      </c>
      <c r="BJ74" s="3" t="n">
        <v>43.718536996387</v>
      </c>
      <c r="BK74" s="3" t="n">
        <v>41.3722327927104</v>
      </c>
      <c r="BL74" s="3" t="n">
        <v>24.2443624</v>
      </c>
      <c r="BM74" s="168" t="n">
        <v>24.2592807083333</v>
      </c>
      <c r="BN74" s="168" t="n">
        <v>24.2783213749999</v>
      </c>
      <c r="BO74" s="168" t="n">
        <v>24.2788025416666</v>
      </c>
      <c r="BP74" s="3" t="n">
        <v>-0.000152428941666666</v>
      </c>
      <c r="BQ74" s="3" t="n">
        <v>-0.000254243891666666</v>
      </c>
      <c r="BR74" s="3" t="n">
        <v>-0.000247305258333333</v>
      </c>
      <c r="BS74" s="3" t="n">
        <v>85.0635467727384</v>
      </c>
      <c r="BT74" s="168" t="n">
        <v>84.9224676048064</v>
      </c>
      <c r="BU74" s="168" t="n">
        <v>85.6739663953896</v>
      </c>
      <c r="BV74" s="168" t="n">
        <v>81.8694795652654</v>
      </c>
      <c r="BW74" s="3" t="n">
        <v>2.67881954515833E-027</v>
      </c>
      <c r="BX74" s="3" t="n">
        <v>7.182667075125E-027</v>
      </c>
      <c r="BY74" s="3" t="n">
        <v>6.79623199961759E-027</v>
      </c>
      <c r="BZ74" s="169"/>
      <c r="CA74" s="169"/>
      <c r="CB74" s="169"/>
      <c r="CC74" s="169"/>
      <c r="CD74" s="169"/>
      <c r="CE74" s="169"/>
      <c r="CF74" s="169"/>
    </row>
    <row r="75" customFormat="false" ht="12.75" hidden="true" customHeight="false" outlineLevel="0" collapsed="false">
      <c r="A75" s="3" t="n">
        <v>5</v>
      </c>
      <c r="B75" s="3" t="n">
        <v>5.4</v>
      </c>
      <c r="C75" s="3" t="s">
        <v>319</v>
      </c>
      <c r="D75" s="3" t="s">
        <v>246</v>
      </c>
      <c r="E75" s="3" t="n">
        <v>1084.02145625</v>
      </c>
      <c r="F75" s="3" t="n">
        <v>995.920874166666</v>
      </c>
      <c r="G75" s="3" t="n">
        <v>883.002993631755</v>
      </c>
      <c r="H75" s="3" t="n">
        <v>88.1005820833333</v>
      </c>
      <c r="I75" s="168" t="n">
        <v>112.917880534911</v>
      </c>
      <c r="J75" s="3" t="n">
        <v>201.018462618244</v>
      </c>
      <c r="K75" s="3" t="n">
        <v>280.707210833333</v>
      </c>
      <c r="L75" s="3" t="n">
        <v>-29.9999999999999</v>
      </c>
      <c r="M75" s="3" t="n">
        <v>486.402755833333</v>
      </c>
      <c r="N75" s="3" t="n">
        <v>0</v>
      </c>
      <c r="O75" s="168" t="n">
        <v>280.845678333333</v>
      </c>
      <c r="P75" s="3" t="n">
        <v>-150</v>
      </c>
      <c r="Q75" s="3" t="n">
        <v>486.271625</v>
      </c>
      <c r="R75" s="3" t="n">
        <v>-120.012990270594</v>
      </c>
      <c r="S75" s="3" t="n">
        <v>280.631471666666</v>
      </c>
      <c r="T75" s="168" t="n">
        <v>90</v>
      </c>
      <c r="U75" s="168" t="n">
        <v>486.064291666666</v>
      </c>
      <c r="V75" s="168" t="n">
        <v>120.003507800874</v>
      </c>
      <c r="W75" s="168" t="n">
        <v>2.02778385833333</v>
      </c>
      <c r="X75" s="168" t="n">
        <v>-5.65703514051166</v>
      </c>
      <c r="Y75" s="168" t="n">
        <v>2.37911539166666</v>
      </c>
      <c r="Z75" s="3" t="n">
        <v>179.853464982096</v>
      </c>
      <c r="AA75" s="3" t="n">
        <v>0.357594041666666</v>
      </c>
      <c r="AB75" s="168" t="n">
        <v>6.29939730497229</v>
      </c>
      <c r="AC75" s="3" t="n">
        <v>496.522389166666</v>
      </c>
      <c r="AD75" s="168" t="n">
        <v>576.634465</v>
      </c>
      <c r="AE75" s="168" t="n">
        <v>10.8646020833333</v>
      </c>
      <c r="AF75" s="168" t="n">
        <v>118.265148333333</v>
      </c>
      <c r="AG75" s="3" t="n">
        <v>-0.834056102113379</v>
      </c>
      <c r="AH75" s="168" t="n">
        <v>8.547238675</v>
      </c>
      <c r="AI75" s="168" t="n">
        <v>-10.6903094497813</v>
      </c>
      <c r="AJ75" s="168" t="n">
        <v>995.920874166666</v>
      </c>
      <c r="AK75" s="168" t="n">
        <v>24.0268276666666</v>
      </c>
      <c r="AL75" s="168" t="n">
        <v>24.2253180833333</v>
      </c>
      <c r="AM75" s="168" t="n">
        <v>24.2243126666666</v>
      </c>
      <c r="AN75" s="3" t="n">
        <v>1.21697611666666</v>
      </c>
      <c r="AO75" s="3" t="n">
        <v>1.21996095</v>
      </c>
      <c r="AP75" s="3" t="n">
        <v>1.22210680833333</v>
      </c>
      <c r="AQ75" s="168" t="n">
        <v>29.2399615</v>
      </c>
      <c r="AR75" s="168" t="n">
        <v>29.5538346666666</v>
      </c>
      <c r="AS75" s="168" t="n">
        <v>29.6046085</v>
      </c>
      <c r="AT75" s="168" t="n">
        <v>24.160387325</v>
      </c>
      <c r="AU75" s="168" t="n">
        <v>18.110416775</v>
      </c>
      <c r="AV75" s="168" t="n">
        <v>24.1793580333333</v>
      </c>
      <c r="AW75" s="168" t="n">
        <v>17.9302443916666</v>
      </c>
      <c r="AX75" s="168" t="n">
        <v>24.1329414583333</v>
      </c>
      <c r="AY75" s="168" t="n">
        <v>18.1900363416666</v>
      </c>
      <c r="AZ75" s="168" t="n">
        <v>3.45606404037061</v>
      </c>
      <c r="BA75" s="168" t="n">
        <v>4.07472763378058</v>
      </c>
      <c r="BB75" s="168" t="n">
        <v>3.22825521970438</v>
      </c>
      <c r="BC75" s="168" t="n">
        <v>3.96324805649796</v>
      </c>
      <c r="BD75" s="168" t="n">
        <v>3.17951927630921</v>
      </c>
      <c r="BE75" s="168" t="n">
        <v>3.93843766285743</v>
      </c>
      <c r="BF75" s="168" t="n">
        <v>83.4998458586669</v>
      </c>
      <c r="BG75" s="3" t="n">
        <v>73.7950165294503</v>
      </c>
      <c r="BH75" s="3" t="n">
        <v>78.0571387997747</v>
      </c>
      <c r="BI75" s="168" t="n">
        <v>71.0620053863359</v>
      </c>
      <c r="BJ75" s="168" t="n">
        <v>76.7311515038096</v>
      </c>
      <c r="BK75" s="168" t="n">
        <v>71.6403248763127</v>
      </c>
      <c r="BL75" s="168" t="n">
        <v>24.1583990583333</v>
      </c>
      <c r="BM75" s="168" t="n">
        <v>24.1741260333333</v>
      </c>
      <c r="BN75" s="168" t="n">
        <v>24.1951166333333</v>
      </c>
      <c r="BO75" s="168" t="n">
        <v>24.189981775</v>
      </c>
      <c r="BP75" s="168" t="n">
        <v>24.1759879833333</v>
      </c>
      <c r="BQ75" s="168" t="n">
        <v>24.1819395166666</v>
      </c>
      <c r="BR75" s="168" t="n">
        <v>24.1861722166666</v>
      </c>
      <c r="BS75" s="168" t="n">
        <v>84.4613958295296</v>
      </c>
      <c r="BT75" s="168" t="n">
        <v>84.3273260504825</v>
      </c>
      <c r="BU75" s="168" t="n">
        <v>85.0877425800604</v>
      </c>
      <c r="BV75" s="168" t="n">
        <v>81.2715581142242</v>
      </c>
      <c r="BW75" s="3" t="n">
        <v>83.0224993160469</v>
      </c>
      <c r="BX75" s="3" t="n">
        <v>78.9158163076395</v>
      </c>
      <c r="BY75" s="3" t="n">
        <v>81.0209039750065</v>
      </c>
      <c r="BZ75" s="169"/>
      <c r="CA75" s="169"/>
      <c r="CB75" s="169"/>
      <c r="CC75" s="169"/>
      <c r="CD75" s="169"/>
      <c r="CE75" s="169"/>
      <c r="CF75" s="169"/>
    </row>
    <row r="76" customFormat="false" ht="12.75" hidden="true" customHeight="false" outlineLevel="0" collapsed="false">
      <c r="A76" s="3" t="n">
        <v>5</v>
      </c>
      <c r="B76" s="3" t="n">
        <v>5.4</v>
      </c>
      <c r="C76" s="3" t="s">
        <v>320</v>
      </c>
      <c r="D76" s="3" t="s">
        <v>246</v>
      </c>
      <c r="E76" s="3" t="n">
        <v>1079.51718491666</v>
      </c>
      <c r="F76" s="3" t="n">
        <v>991.339520833333</v>
      </c>
      <c r="G76" s="3" t="n">
        <v>884.308803705268</v>
      </c>
      <c r="H76" s="3" t="n">
        <v>88.1776640833333</v>
      </c>
      <c r="I76" s="168" t="n">
        <v>107.030717128065</v>
      </c>
      <c r="J76" s="3" t="n">
        <v>195.208381211398</v>
      </c>
      <c r="K76" s="3" t="n">
        <v>280.4008725</v>
      </c>
      <c r="L76" s="3" t="n">
        <v>-29.9999999999999</v>
      </c>
      <c r="M76" s="168" t="n">
        <v>486.1099325</v>
      </c>
      <c r="N76" s="3" t="n">
        <v>0</v>
      </c>
      <c r="O76" s="168" t="n">
        <v>280.775703333333</v>
      </c>
      <c r="P76" s="3" t="n">
        <v>-150</v>
      </c>
      <c r="Q76" s="3" t="n">
        <v>486.084515</v>
      </c>
      <c r="R76" s="3" t="n">
        <v>-120.063373040359</v>
      </c>
      <c r="S76" s="3" t="n">
        <v>280.386180833333</v>
      </c>
      <c r="T76" s="168" t="n">
        <v>90</v>
      </c>
      <c r="U76" s="168" t="n">
        <v>485.4673175</v>
      </c>
      <c r="V76" s="168" t="n">
        <v>119.976598141908</v>
      </c>
      <c r="W76" s="168" t="n">
        <v>2.020265775</v>
      </c>
      <c r="X76" s="168" t="n">
        <v>-5.74339002022601</v>
      </c>
      <c r="Y76" s="168" t="n">
        <v>2.3713642</v>
      </c>
      <c r="Z76" s="3" t="n">
        <v>179.888607573535</v>
      </c>
      <c r="AA76" s="3" t="n">
        <v>0.357348095833333</v>
      </c>
      <c r="AB76" s="168" t="n">
        <v>6.25001136786317</v>
      </c>
      <c r="AC76" s="3" t="n">
        <v>493.764704166666</v>
      </c>
      <c r="AD76" s="168" t="n">
        <v>574.907016666666</v>
      </c>
      <c r="AE76" s="168" t="n">
        <v>10.8454640833333</v>
      </c>
      <c r="AF76" s="168" t="n">
        <v>118.157965833333</v>
      </c>
      <c r="AG76" s="3" t="n">
        <v>-0.833668094969254</v>
      </c>
      <c r="AH76" s="168" t="n">
        <v>8.518744</v>
      </c>
      <c r="AI76" s="168" t="n">
        <v>-10.8092553401073</v>
      </c>
      <c r="AJ76" s="168" t="n">
        <v>991.339520833333</v>
      </c>
      <c r="AK76" s="168" t="n">
        <v>24.0097694166666</v>
      </c>
      <c r="AL76" s="168" t="n">
        <v>24.22385</v>
      </c>
      <c r="AM76" s="168" t="n">
        <v>24.2228678333333</v>
      </c>
      <c r="AN76" s="168" t="n">
        <v>1.232600125</v>
      </c>
      <c r="AO76" s="168" t="n">
        <v>1.24038793333333</v>
      </c>
      <c r="AP76" s="3" t="n">
        <v>1.240677925</v>
      </c>
      <c r="AQ76" s="168" t="n">
        <v>29.5943265</v>
      </c>
      <c r="AR76" s="168" t="n">
        <v>30.0468548333333</v>
      </c>
      <c r="AS76" s="168" t="n">
        <v>30.0526804166666</v>
      </c>
      <c r="AT76" s="168" t="n">
        <v>24.1590860666666</v>
      </c>
      <c r="AU76" s="168" t="n">
        <v>18.1196744666666</v>
      </c>
      <c r="AV76" s="168" t="n">
        <v>24.1783044583333</v>
      </c>
      <c r="AW76" s="168" t="n">
        <v>17.9308776083333</v>
      </c>
      <c r="AX76" s="168" t="n">
        <v>24.1275973083333</v>
      </c>
      <c r="AY76" s="168" t="n">
        <v>18.178615025</v>
      </c>
      <c r="AZ76" s="168" t="n">
        <v>3.45991263842921</v>
      </c>
      <c r="BA76" s="168" t="n">
        <v>4.07628008627716</v>
      </c>
      <c r="BB76" s="168" t="n">
        <v>3.2251505803298</v>
      </c>
      <c r="BC76" s="168" t="n">
        <v>3.95969079744982</v>
      </c>
      <c r="BD76" s="168" t="n">
        <v>3.18293958665232</v>
      </c>
      <c r="BE76" s="168" t="n">
        <v>3.94024366348352</v>
      </c>
      <c r="BF76" s="168" t="n">
        <v>83.5883271190588</v>
      </c>
      <c r="BG76" s="3" t="n">
        <v>73.8608685297928</v>
      </c>
      <c r="BH76" s="3" t="n">
        <v>77.9786727418758</v>
      </c>
      <c r="BI76" s="168" t="n">
        <v>71.0007315898659</v>
      </c>
      <c r="BJ76" s="168" t="n">
        <v>76.7966833778387</v>
      </c>
      <c r="BK76" s="168" t="n">
        <v>71.6281653300792</v>
      </c>
      <c r="BL76" s="168" t="n">
        <v>24.1573137916666</v>
      </c>
      <c r="BM76" s="168" t="n">
        <v>24.1744127416666</v>
      </c>
      <c r="BN76" s="168" t="n">
        <v>24.1952229416666</v>
      </c>
      <c r="BO76" s="168" t="n">
        <v>24.19102605</v>
      </c>
      <c r="BP76" s="168" t="n">
        <v>24.17704815</v>
      </c>
      <c r="BQ76" s="168" t="n">
        <v>24.1823733583333</v>
      </c>
      <c r="BR76" s="168" t="n">
        <v>24.1870146833333</v>
      </c>
      <c r="BS76" s="168" t="n">
        <v>84.4538074800979</v>
      </c>
      <c r="BT76" s="168" t="n">
        <v>84.3293263228828</v>
      </c>
      <c r="BU76" s="168" t="n">
        <v>85.0884902924253</v>
      </c>
      <c r="BV76" s="168" t="n">
        <v>81.2785751899088</v>
      </c>
      <c r="BW76" s="3" t="n">
        <v>83.0297808623765</v>
      </c>
      <c r="BX76" s="3" t="n">
        <v>78.9186479433925</v>
      </c>
      <c r="BY76" s="3" t="n">
        <v>81.0265484144461</v>
      </c>
      <c r="BZ76" s="169"/>
      <c r="CA76" s="169"/>
      <c r="CB76" s="169"/>
      <c r="CC76" s="169"/>
      <c r="CD76" s="169"/>
      <c r="CE76" s="169"/>
      <c r="CF76" s="169"/>
    </row>
    <row r="77" customFormat="false" ht="12.75" hidden="true" customHeight="false" outlineLevel="0" collapsed="false">
      <c r="A77" s="3" t="n">
        <v>5</v>
      </c>
      <c r="B77" s="3" t="n">
        <v>5.4</v>
      </c>
      <c r="C77" s="3" t="s">
        <v>321</v>
      </c>
      <c r="D77" s="3" t="s">
        <v>246</v>
      </c>
      <c r="E77" s="3" t="n">
        <v>1079.88791766666</v>
      </c>
      <c r="F77" s="3" t="n">
        <v>991.367021666666</v>
      </c>
      <c r="G77" s="3" t="n">
        <v>884.991851493971</v>
      </c>
      <c r="H77" s="3" t="n">
        <v>88.520896</v>
      </c>
      <c r="I77" s="168" t="n">
        <v>106.375170172694</v>
      </c>
      <c r="J77" s="3" t="n">
        <v>194.896066172694</v>
      </c>
      <c r="K77" s="3" t="n">
        <v>280.611075833333</v>
      </c>
      <c r="L77" s="3" t="n">
        <v>-29.9999999999999</v>
      </c>
      <c r="M77" s="3" t="n">
        <v>486.193073333333</v>
      </c>
      <c r="N77" s="3" t="n">
        <v>0</v>
      </c>
      <c r="O77" s="168" t="n">
        <v>280.73273</v>
      </c>
      <c r="P77" s="3" t="n">
        <v>-150</v>
      </c>
      <c r="Q77" s="3" t="n">
        <v>486.133226666666</v>
      </c>
      <c r="R77" s="3" t="n">
        <v>-120.048692239069</v>
      </c>
      <c r="S77" s="3" t="n">
        <v>280.576510833333</v>
      </c>
      <c r="T77" s="168" t="n">
        <v>90</v>
      </c>
      <c r="U77" s="3" t="n">
        <v>485.954798333333</v>
      </c>
      <c r="V77" s="168" t="n">
        <v>119.976997952076</v>
      </c>
      <c r="W77" s="3" t="n">
        <v>2.02022040833333</v>
      </c>
      <c r="X77" s="168" t="n">
        <v>-5.76265584875662</v>
      </c>
      <c r="Y77" s="3" t="n">
        <v>2.37200741666666</v>
      </c>
      <c r="Z77" s="3" t="n">
        <v>179.847110082817</v>
      </c>
      <c r="AA77" s="3" t="n">
        <v>0.358113455833333</v>
      </c>
      <c r="AB77" s="3" t="n">
        <v>6.29109105897426</v>
      </c>
      <c r="AC77" s="3" t="n">
        <v>494.181395833333</v>
      </c>
      <c r="AD77" s="168" t="n">
        <v>574.8105275</v>
      </c>
      <c r="AE77" s="3" t="n">
        <v>10.8959943333333</v>
      </c>
      <c r="AF77" s="3" t="n">
        <v>118.140383333333</v>
      </c>
      <c r="AG77" s="3" t="n">
        <v>-0.833922799598056</v>
      </c>
      <c r="AH77" s="3" t="n">
        <v>8.52059273333333</v>
      </c>
      <c r="AI77" s="168" t="n">
        <v>-10.8226901798811</v>
      </c>
      <c r="AJ77" s="168" t="n">
        <v>991.367021666666</v>
      </c>
      <c r="AK77" s="3" t="n">
        <v>24.0011554166666</v>
      </c>
      <c r="AL77" s="3" t="n">
        <v>24.2227141666666</v>
      </c>
      <c r="AM77" s="3" t="n">
        <v>24.2214829166666</v>
      </c>
      <c r="AN77" s="3" t="n">
        <v>1.24069995</v>
      </c>
      <c r="AO77" s="3" t="n">
        <v>1.25090014999999</v>
      </c>
      <c r="AP77" s="3" t="n">
        <v>1.25208600833333</v>
      </c>
      <c r="AQ77" s="168" t="n">
        <v>29.7781208333333</v>
      </c>
      <c r="AR77" s="168" t="n">
        <v>30.3000896666666</v>
      </c>
      <c r="AS77" s="168" t="n">
        <v>30.32729175</v>
      </c>
      <c r="AT77" s="3" t="n">
        <v>24.1582943333333</v>
      </c>
      <c r="AU77" s="3" t="n">
        <v>18.120182175</v>
      </c>
      <c r="AV77" s="3" t="n">
        <v>24.1776057083333</v>
      </c>
      <c r="AW77" s="168" t="n">
        <v>17.928025175</v>
      </c>
      <c r="AX77" s="168" t="n">
        <v>24.1263093</v>
      </c>
      <c r="AY77" s="168" t="n">
        <v>18.1712250416666</v>
      </c>
      <c r="AZ77" s="168" t="n">
        <v>3.46125559327085</v>
      </c>
      <c r="BA77" s="3" t="n">
        <v>4.07758831930476</v>
      </c>
      <c r="BB77" s="3" t="n">
        <v>3.22563112062225</v>
      </c>
      <c r="BC77" s="3" t="n">
        <v>3.96003259214065</v>
      </c>
      <c r="BD77" s="3" t="n">
        <v>3.18384718879928</v>
      </c>
      <c r="BE77" s="3" t="n">
        <v>3.94126605015262</v>
      </c>
      <c r="BF77" s="3" t="n">
        <v>83.6180313777108</v>
      </c>
      <c r="BG77" s="3" t="n">
        <v>73.8866431503498</v>
      </c>
      <c r="BH77" s="3" t="n">
        <v>77.9880374217122</v>
      </c>
      <c r="BI77" s="168" t="n">
        <v>70.9955641810821</v>
      </c>
      <c r="BJ77" s="168" t="n">
        <v>76.8144817809445</v>
      </c>
      <c r="BK77" s="168" t="n">
        <v>71.617633069154</v>
      </c>
      <c r="BL77" s="168" t="n">
        <v>24.1562736</v>
      </c>
      <c r="BM77" s="168" t="n">
        <v>24.1738891666666</v>
      </c>
      <c r="BN77" s="168" t="n">
        <v>24.1946347166666</v>
      </c>
      <c r="BO77" s="168" t="n">
        <v>24.1899401833333</v>
      </c>
      <c r="BP77" s="3" t="n">
        <v>24.1768761166666</v>
      </c>
      <c r="BQ77" s="168" t="n">
        <v>24.1817973916666</v>
      </c>
      <c r="BR77" s="168" t="n">
        <v>24.1853180083333</v>
      </c>
      <c r="BS77" s="3" t="n">
        <v>84.4465346263354</v>
      </c>
      <c r="BT77" s="168" t="n">
        <v>84.3256735147051</v>
      </c>
      <c r="BU77" s="168" t="n">
        <v>85.0843530651349</v>
      </c>
      <c r="BV77" s="168" t="n">
        <v>81.2712786251068</v>
      </c>
      <c r="BW77" s="3" t="n">
        <v>83.028599258847</v>
      </c>
      <c r="BX77" s="3" t="n">
        <v>78.9148886785772</v>
      </c>
      <c r="BY77" s="3" t="n">
        <v>81.015181074679</v>
      </c>
      <c r="BZ77" s="169"/>
      <c r="CA77" s="169"/>
      <c r="CB77" s="169"/>
      <c r="CC77" s="169"/>
      <c r="CD77" s="169"/>
      <c r="CE77" s="169"/>
      <c r="CF77" s="169"/>
    </row>
    <row r="78" customFormat="false" ht="12.75" hidden="true" customHeight="false" outlineLevel="0" collapsed="false">
      <c r="A78" s="3" t="n">
        <v>6</v>
      </c>
      <c r="B78" s="3" t="n">
        <v>6.1</v>
      </c>
      <c r="C78" s="3" t="s">
        <v>322</v>
      </c>
      <c r="D78" s="3" t="s">
        <v>246</v>
      </c>
      <c r="E78" s="3" t="n">
        <v>71.985673</v>
      </c>
      <c r="F78" s="3" t="n">
        <v>19.4337714166666</v>
      </c>
      <c r="G78" s="3" t="n">
        <v>0.721325897188747</v>
      </c>
      <c r="H78" s="3" t="n">
        <v>52.5519015833333</v>
      </c>
      <c r="I78" s="168" t="n">
        <v>18.7124455194779</v>
      </c>
      <c r="J78" s="3" t="n">
        <v>71.2643471028112</v>
      </c>
      <c r="K78" s="3" t="n">
        <v>283.014380833333</v>
      </c>
      <c r="L78" s="3" t="n">
        <v>-29.9999999999999</v>
      </c>
      <c r="M78" s="3" t="n">
        <v>490.764468333333</v>
      </c>
      <c r="N78" s="3" t="n">
        <v>0</v>
      </c>
      <c r="O78" s="168" t="n">
        <v>283.390424166666</v>
      </c>
      <c r="P78" s="3" t="n">
        <v>-150</v>
      </c>
      <c r="Q78" s="3" t="n">
        <v>490.359766666666</v>
      </c>
      <c r="R78" s="3" t="n">
        <v>-120.115406378071</v>
      </c>
      <c r="S78" s="3" t="n">
        <v>282.780455</v>
      </c>
      <c r="T78" s="168" t="n">
        <v>90</v>
      </c>
      <c r="U78" s="168" t="n">
        <v>489.739521666666</v>
      </c>
      <c r="V78" s="168" t="n">
        <v>119.981695748171</v>
      </c>
      <c r="W78" s="168" t="n">
        <v>0.374765530833333</v>
      </c>
      <c r="X78" s="168" t="n">
        <v>-81.3545772163741</v>
      </c>
      <c r="Y78" s="168" t="n">
        <v>0.301440543333333</v>
      </c>
      <c r="Z78" s="3" t="n">
        <v>108.944432293278</v>
      </c>
      <c r="AA78" s="3" t="n">
        <v>0.129772375</v>
      </c>
      <c r="AB78" s="3" t="n">
        <v>54.8606520687773</v>
      </c>
      <c r="AC78" s="3" t="n">
        <v>65.54202075</v>
      </c>
      <c r="AD78" s="3" t="n">
        <v>-17.2243003333333</v>
      </c>
      <c r="AE78" s="168" t="n">
        <v>23.6679525833333</v>
      </c>
      <c r="AF78" s="168" t="n">
        <v>213.5307875</v>
      </c>
      <c r="AG78" s="3" t="n">
        <v>89.8053486457626</v>
      </c>
      <c r="AH78" s="3" t="n">
        <v>0.6749050475</v>
      </c>
      <c r="AI78" s="168" t="n">
        <v>7.55535277262962</v>
      </c>
      <c r="AJ78" s="168" t="n">
        <v>19.4337714166666</v>
      </c>
      <c r="AK78" s="168" t="n">
        <v>0.179248025833333</v>
      </c>
      <c r="AL78" s="168" t="n">
        <v>0.151650423333333</v>
      </c>
      <c r="AM78" s="168" t="n">
        <v>0.332939793333333</v>
      </c>
      <c r="AN78" s="3" t="n">
        <v>0</v>
      </c>
      <c r="AO78" s="3" t="n">
        <v>0</v>
      </c>
      <c r="AP78" s="3" t="n">
        <v>0</v>
      </c>
      <c r="AQ78" s="168" t="n">
        <v>-5.51350443333333E-006</v>
      </c>
      <c r="AR78" s="168" t="n">
        <v>-5.42208490833333E-006</v>
      </c>
      <c r="AS78" s="168" t="n">
        <v>0.000138027915</v>
      </c>
      <c r="AT78" s="168" t="n">
        <v>24.6</v>
      </c>
      <c r="AU78" s="168" t="n">
        <v>18.9</v>
      </c>
      <c r="AV78" s="168" t="n">
        <v>24.6</v>
      </c>
      <c r="AW78" s="168" t="n">
        <v>18.8</v>
      </c>
      <c r="AX78" s="168" t="n">
        <v>24.6</v>
      </c>
      <c r="AY78" s="168" t="n">
        <v>18.8</v>
      </c>
      <c r="AZ78" s="168" t="n">
        <v>0.0247969136142271</v>
      </c>
      <c r="BA78" s="168" t="n">
        <v>0.00478125724585478</v>
      </c>
      <c r="BB78" s="168" t="n">
        <v>0.0353341881919426</v>
      </c>
      <c r="BC78" s="168" t="n">
        <v>0.00980016228194654</v>
      </c>
      <c r="BD78" s="168" t="n">
        <v>0.0516538733438471</v>
      </c>
      <c r="BE78" s="168" t="n">
        <v>0.0237547868093531</v>
      </c>
      <c r="BF78" s="168" t="n">
        <v>0.610004074909987</v>
      </c>
      <c r="BG78" s="3" t="n">
        <v>0.0903657619466553</v>
      </c>
      <c r="BH78" s="3" t="n">
        <v>0.869221029521789</v>
      </c>
      <c r="BI78" s="168" t="n">
        <v>0.184243050900595</v>
      </c>
      <c r="BJ78" s="168" t="n">
        <v>1.27068528425863</v>
      </c>
      <c r="BK78" s="168" t="n">
        <v>0.446589992015839</v>
      </c>
      <c r="BL78" s="168" t="n">
        <v>1.39270833333333E-006</v>
      </c>
      <c r="BM78" s="168" t="n">
        <v>1.06011666666666E-006</v>
      </c>
      <c r="BN78" s="168" t="n">
        <v>5.97475E-007</v>
      </c>
      <c r="BO78" s="168" t="n">
        <v>8.64E-008</v>
      </c>
      <c r="BP78" s="168" t="n">
        <v>2.30289166666666E-006</v>
      </c>
      <c r="BQ78" s="168" t="n">
        <v>4.07624999999999E-007</v>
      </c>
      <c r="BR78" s="168" t="n">
        <v>4.29275E-007</v>
      </c>
      <c r="BS78" s="168" t="n">
        <v>2.36905543518518E-031</v>
      </c>
      <c r="BT78" s="168" t="n">
        <v>1.44530331481481E-031</v>
      </c>
      <c r="BU78" s="168" t="n">
        <v>5.99047861111111E-032</v>
      </c>
      <c r="BV78" s="168" t="n">
        <v>2.48910425925925E-032</v>
      </c>
      <c r="BW78" s="3" t="n">
        <v>6.16386949074074E-031</v>
      </c>
      <c r="BX78" s="3" t="n">
        <v>4.04897712962962E-032</v>
      </c>
      <c r="BY78" s="3" t="n">
        <v>4.31112675925925E-032</v>
      </c>
      <c r="BZ78" s="169"/>
      <c r="CA78" s="169"/>
      <c r="CB78" s="169"/>
      <c r="CC78" s="169"/>
      <c r="CD78" s="169"/>
      <c r="CE78" s="169"/>
      <c r="CF78" s="169"/>
    </row>
    <row r="79" customFormat="false" ht="12.75" hidden="true" customHeight="false" outlineLevel="0" collapsed="false">
      <c r="A79" s="3" t="n">
        <v>6</v>
      </c>
      <c r="B79" s="3" t="n">
        <v>6.1</v>
      </c>
      <c r="C79" s="3" t="s">
        <v>323</v>
      </c>
      <c r="D79" s="3" t="s">
        <v>246</v>
      </c>
      <c r="E79" s="3" t="n">
        <v>71.8806571666666</v>
      </c>
      <c r="F79" s="3" t="n">
        <v>19.3903828333333</v>
      </c>
      <c r="G79" s="3" t="n">
        <v>0.477007092494656</v>
      </c>
      <c r="H79" s="3" t="n">
        <v>52.4902743333333</v>
      </c>
      <c r="I79" s="168" t="n">
        <v>18.9133757408386</v>
      </c>
      <c r="J79" s="3" t="n">
        <v>71.403650074172</v>
      </c>
      <c r="K79" s="3" t="n">
        <v>283.042035</v>
      </c>
      <c r="L79" s="3" t="n">
        <v>-29.9999999999999</v>
      </c>
      <c r="M79" s="3" t="n">
        <v>490.81561</v>
      </c>
      <c r="N79" s="3" t="n">
        <v>0</v>
      </c>
      <c r="O79" s="168" t="n">
        <v>283.386576666666</v>
      </c>
      <c r="P79" s="3" t="n">
        <v>-150</v>
      </c>
      <c r="Q79" s="3" t="n">
        <v>490.291920833333</v>
      </c>
      <c r="R79" s="3" t="n">
        <v>-120.127605394441</v>
      </c>
      <c r="S79" s="3" t="n">
        <v>282.739333333333</v>
      </c>
      <c r="T79" s="168" t="n">
        <v>90</v>
      </c>
      <c r="U79" s="168" t="n">
        <v>489.726468333333</v>
      </c>
      <c r="V79" s="168" t="n">
        <v>119.972232165592</v>
      </c>
      <c r="W79" s="168" t="n">
        <v>0.374862646666666</v>
      </c>
      <c r="X79" s="168" t="n">
        <v>-81.3708287378527</v>
      </c>
      <c r="Y79" s="168" t="n">
        <v>0.3017717975</v>
      </c>
      <c r="Z79" s="3" t="n">
        <v>108.923945788218</v>
      </c>
      <c r="AA79" s="3" t="n">
        <v>0.129742184166666</v>
      </c>
      <c r="AB79" s="3" t="n">
        <v>54.7291618737191</v>
      </c>
      <c r="AC79" s="3" t="n">
        <v>65.5297164166666</v>
      </c>
      <c r="AD79" s="3" t="n">
        <v>-17.2523351666666</v>
      </c>
      <c r="AE79" s="168" t="n">
        <v>23.6032759166666</v>
      </c>
      <c r="AF79" s="168" t="n">
        <v>213.499820833333</v>
      </c>
      <c r="AG79" s="3" t="n">
        <v>89.7905983438903</v>
      </c>
      <c r="AH79" s="3" t="n">
        <v>0.6745023175</v>
      </c>
      <c r="AI79" s="168" t="n">
        <v>7.52897265165177</v>
      </c>
      <c r="AJ79" s="168" t="n">
        <v>19.3903828333333</v>
      </c>
      <c r="AK79" s="168" t="n">
        <v>0.1787721975</v>
      </c>
      <c r="AL79" s="168" t="n">
        <v>0.151998381666666</v>
      </c>
      <c r="AM79" s="168" t="n">
        <v>0.33202001</v>
      </c>
      <c r="AN79" s="3" t="n">
        <v>0</v>
      </c>
      <c r="AO79" s="3" t="n">
        <v>0</v>
      </c>
      <c r="AP79" s="3" t="n">
        <v>0</v>
      </c>
      <c r="AQ79" s="168" t="n">
        <v>-5.52326479166666E-006</v>
      </c>
      <c r="AR79" s="168" t="n">
        <v>-5.42974595E-006</v>
      </c>
      <c r="AS79" s="168" t="n">
        <v>0.000137655129166666</v>
      </c>
      <c r="AT79" s="168" t="n">
        <v>24.5516766833333</v>
      </c>
      <c r="AU79" s="168" t="n">
        <v>18.858506375</v>
      </c>
      <c r="AV79" s="168" t="n">
        <v>24.5519260083333</v>
      </c>
      <c r="AW79" s="168" t="n">
        <v>18.7577615916666</v>
      </c>
      <c r="AX79" s="168" t="n">
        <v>24.5515745333333</v>
      </c>
      <c r="AY79" s="168" t="n">
        <v>18.8367173083333</v>
      </c>
      <c r="AZ79" s="168" t="n">
        <v>0.0358150437048812</v>
      </c>
      <c r="BA79" s="168" t="n">
        <v>0.00627703678362196</v>
      </c>
      <c r="BB79" s="168" t="n">
        <v>0.0277508421120035</v>
      </c>
      <c r="BC79" s="168" t="n">
        <v>0.00677926590792396</v>
      </c>
      <c r="BD79" s="168" t="n">
        <v>0.0414972674683113</v>
      </c>
      <c r="BE79" s="168" t="n">
        <v>0.0122813866841284</v>
      </c>
      <c r="BF79" s="168" t="n">
        <v>0.879319372877547</v>
      </c>
      <c r="BG79" s="3" t="n">
        <v>0.118375567508724</v>
      </c>
      <c r="BH79" s="3" t="n">
        <v>0.681336626797869</v>
      </c>
      <c r="BI79" s="168" t="n">
        <v>0.127163856404566</v>
      </c>
      <c r="BJ79" s="168" t="n">
        <v>1.01882326050256</v>
      </c>
      <c r="BK79" s="168" t="n">
        <v>0.23134096646294</v>
      </c>
      <c r="BL79" s="168" t="n">
        <v>1.44990833333333E-006</v>
      </c>
      <c r="BM79" s="168" t="n">
        <v>1.24539166666666E-006</v>
      </c>
      <c r="BN79" s="168" t="n">
        <v>7.69016666666666E-007</v>
      </c>
      <c r="BO79" s="168" t="n">
        <v>6.96683333333333E-007</v>
      </c>
      <c r="BP79" s="168" t="n">
        <v>2.573925E-006</v>
      </c>
      <c r="BQ79" s="168" t="n">
        <v>6.40166666666666E-007</v>
      </c>
      <c r="BR79" s="168" t="n">
        <v>3.19266666666666E-007</v>
      </c>
      <c r="BS79" s="168" t="n">
        <v>2.50888073148148E-031</v>
      </c>
      <c r="BT79" s="168" t="n">
        <v>1.9246089537037E-031</v>
      </c>
      <c r="BU79" s="168" t="n">
        <v>8.66323537037037E-032</v>
      </c>
      <c r="BV79" s="168" t="n">
        <v>7.27063537037037E-032</v>
      </c>
      <c r="BW79" s="3" t="n">
        <v>7.64977049074074E-031</v>
      </c>
      <c r="BX79" s="3" t="n">
        <v>6.33092574074074E-032</v>
      </c>
      <c r="BY79" s="3" t="n">
        <v>3.29762981481481E-032</v>
      </c>
      <c r="BZ79" s="169"/>
      <c r="CA79" s="169"/>
      <c r="CB79" s="169"/>
      <c r="CC79" s="169"/>
      <c r="CD79" s="169"/>
      <c r="CE79" s="169"/>
      <c r="CF79" s="169"/>
    </row>
    <row r="80" customFormat="false" ht="12.75" hidden="true" customHeight="false" outlineLevel="0" collapsed="false">
      <c r="A80" s="3" t="n">
        <v>6</v>
      </c>
      <c r="B80" s="3" t="n">
        <v>6.1</v>
      </c>
      <c r="C80" s="3" t="s">
        <v>324</v>
      </c>
      <c r="D80" s="3" t="s">
        <v>246</v>
      </c>
      <c r="E80" s="3" t="n">
        <v>71.8541565833333</v>
      </c>
      <c r="F80" s="3" t="n">
        <v>19.3921065</v>
      </c>
      <c r="G80" s="3" t="n">
        <v>0.481115256764226</v>
      </c>
      <c r="H80" s="3" t="n">
        <v>52.4620500833333</v>
      </c>
      <c r="I80" s="168" t="n">
        <v>18.9109912432357</v>
      </c>
      <c r="J80" s="3" t="n">
        <v>71.3730413265691</v>
      </c>
      <c r="K80" s="3" t="n">
        <v>282.953404166666</v>
      </c>
      <c r="L80" s="3" t="n">
        <v>-29.9999999999999</v>
      </c>
      <c r="M80" s="3" t="n">
        <v>490.774233333333</v>
      </c>
      <c r="N80" s="3" t="n">
        <v>0</v>
      </c>
      <c r="O80" s="168" t="n">
        <v>283.443725833333</v>
      </c>
      <c r="P80" s="3" t="n">
        <v>-150</v>
      </c>
      <c r="Q80" s="3" t="n">
        <v>490.419475</v>
      </c>
      <c r="R80" s="3" t="n">
        <v>-120.138204918246</v>
      </c>
      <c r="S80" s="3" t="n">
        <v>282.748296666666</v>
      </c>
      <c r="T80" s="168" t="n">
        <v>90</v>
      </c>
      <c r="U80" s="168" t="n">
        <v>489.6013925</v>
      </c>
      <c r="V80" s="168" t="n">
        <v>119.979820979072</v>
      </c>
      <c r="W80" s="168" t="n">
        <v>0.374930354166666</v>
      </c>
      <c r="X80" s="168" t="n">
        <v>-81.3907092367945</v>
      </c>
      <c r="Y80" s="168" t="n">
        <v>0.302085226666666</v>
      </c>
      <c r="Z80" s="3" t="n">
        <v>108.958874566643</v>
      </c>
      <c r="AA80" s="3" t="n">
        <v>0.129354206666666</v>
      </c>
      <c r="AB80" s="3" t="n">
        <v>54.669174325057</v>
      </c>
      <c r="AC80" s="3" t="n">
        <v>65.5128624166666</v>
      </c>
      <c r="AD80" s="3" t="n">
        <v>-17.2222063333333</v>
      </c>
      <c r="AE80" s="168" t="n">
        <v>23.5635005</v>
      </c>
      <c r="AF80" s="168" t="n">
        <v>213.506334166666</v>
      </c>
      <c r="AG80" s="3" t="n">
        <v>89.7890068167117</v>
      </c>
      <c r="AH80" s="168" t="n">
        <v>0.673967465</v>
      </c>
      <c r="AI80" s="168" t="n">
        <v>7.53401405087854</v>
      </c>
      <c r="AJ80" s="168" t="n">
        <v>19.3921065</v>
      </c>
      <c r="AK80" s="168" t="n">
        <v>0.178440187499999</v>
      </c>
      <c r="AL80" s="168" t="n">
        <v>0.152105900833333</v>
      </c>
      <c r="AM80" s="168" t="n">
        <v>0.331677089166666</v>
      </c>
      <c r="AN80" s="168" t="n">
        <v>0</v>
      </c>
      <c r="AO80" s="168" t="n">
        <v>0</v>
      </c>
      <c r="AP80" s="3" t="n">
        <v>0</v>
      </c>
      <c r="AQ80" s="168" t="n">
        <v>-5.47181301666666E-006</v>
      </c>
      <c r="AR80" s="168" t="n">
        <v>-5.51655263333333E-006</v>
      </c>
      <c r="AS80" s="168" t="n">
        <v>0.000137116919166666</v>
      </c>
      <c r="AT80" s="168" t="n">
        <v>24.5518511333333</v>
      </c>
      <c r="AU80" s="168" t="n">
        <v>18.855270125</v>
      </c>
      <c r="AV80" s="168" t="n">
        <v>24.5521131</v>
      </c>
      <c r="AW80" s="168" t="n">
        <v>18.7540957333333</v>
      </c>
      <c r="AX80" s="168" t="n">
        <v>24.5517871583333</v>
      </c>
      <c r="AY80" s="168" t="n">
        <v>18.8332200833333</v>
      </c>
      <c r="AZ80" s="168" t="n">
        <v>0.0358895178029342</v>
      </c>
      <c r="BA80" s="168" t="n">
        <v>0.00631478912297042</v>
      </c>
      <c r="BB80" s="168" t="n">
        <v>0.0283958801049568</v>
      </c>
      <c r="BC80" s="168" t="n">
        <v>0.0067838374886526</v>
      </c>
      <c r="BD80" s="168" t="n">
        <v>0.0417442799401321</v>
      </c>
      <c r="BE80" s="168" t="n">
        <v>0.0124618806160755</v>
      </c>
      <c r="BF80" s="168" t="n">
        <v>0.881154097844174</v>
      </c>
      <c r="BG80" s="168" t="n">
        <v>0.119067067610795</v>
      </c>
      <c r="BH80" s="168" t="n">
        <v>0.69717885603581</v>
      </c>
      <c r="BI80" s="168" t="n">
        <v>0.127224712860951</v>
      </c>
      <c r="BJ80" s="168" t="n">
        <v>1.02489667714627</v>
      </c>
      <c r="BK80" s="168" t="n">
        <v>0.234697347738963</v>
      </c>
      <c r="BL80" s="168" t="n">
        <v>1.74006666666666E-006</v>
      </c>
      <c r="BM80" s="168" t="n">
        <v>1.24369999999999E-006</v>
      </c>
      <c r="BN80" s="168" t="n">
        <v>9.26991666666666E-007</v>
      </c>
      <c r="BO80" s="168" t="n">
        <v>7.88133333333333E-007</v>
      </c>
      <c r="BP80" s="168" t="n">
        <v>2.613825E-006</v>
      </c>
      <c r="BQ80" s="168" t="n">
        <v>7.45766666666666E-007</v>
      </c>
      <c r="BR80" s="168" t="n">
        <v>2.83566666666666E-007</v>
      </c>
      <c r="BS80" s="168" t="n">
        <v>3.55941798148148E-031</v>
      </c>
      <c r="BT80" s="168" t="n">
        <v>1.93502405555555E-031</v>
      </c>
      <c r="BU80" s="168" t="n">
        <v>1.12216382407407E-031</v>
      </c>
      <c r="BV80" s="168" t="n">
        <v>9.00138555555555E-032</v>
      </c>
      <c r="BW80" s="3" t="n">
        <v>7.75294337962962E-031</v>
      </c>
      <c r="BX80" s="3" t="n">
        <v>8.0390824074074E-032</v>
      </c>
      <c r="BY80" s="3" t="n">
        <v>3.01534888888888E-032</v>
      </c>
      <c r="BZ80" s="169"/>
      <c r="CA80" s="169"/>
      <c r="CB80" s="169"/>
      <c r="CC80" s="169"/>
      <c r="CD80" s="169"/>
      <c r="CE80" s="169"/>
      <c r="CF80" s="169"/>
    </row>
    <row r="81" customFormat="false" ht="12.75" hidden="true" customHeight="false" outlineLevel="0" collapsed="false">
      <c r="A81" s="3" t="n">
        <v>6</v>
      </c>
      <c r="B81" s="3" t="n">
        <v>6.2</v>
      </c>
      <c r="C81" s="3" t="s">
        <v>325</v>
      </c>
      <c r="D81" s="3" t="s">
        <v>246</v>
      </c>
      <c r="E81" s="3" t="n">
        <v>288.906008166666</v>
      </c>
      <c r="F81" s="3" t="n">
        <v>235.0779275</v>
      </c>
      <c r="G81" s="3" t="n">
        <v>194.432986093238</v>
      </c>
      <c r="H81" s="3" t="n">
        <v>53.8280806666666</v>
      </c>
      <c r="I81" s="3" t="n">
        <v>40.6449414067614</v>
      </c>
      <c r="J81" s="3" t="n">
        <v>94.4730220734281</v>
      </c>
      <c r="K81" s="3" t="n">
        <v>282.785144166666</v>
      </c>
      <c r="L81" s="3" t="n">
        <v>-29.9999999999999</v>
      </c>
      <c r="M81" s="3" t="n">
        <v>490.403173333333</v>
      </c>
      <c r="N81" s="3" t="n">
        <v>0</v>
      </c>
      <c r="O81" s="168" t="n">
        <v>283.10236</v>
      </c>
      <c r="P81" s="3" t="n">
        <v>-150</v>
      </c>
      <c r="Q81" s="3" t="n">
        <v>489.6871025</v>
      </c>
      <c r="R81" s="3" t="n">
        <v>-120.099957638251</v>
      </c>
      <c r="S81" s="168" t="n">
        <v>282.371213333333</v>
      </c>
      <c r="T81" s="168" t="n">
        <v>90</v>
      </c>
      <c r="U81" s="168" t="n">
        <v>489.169405</v>
      </c>
      <c r="V81" s="168" t="n">
        <v>120.006189559676</v>
      </c>
      <c r="W81" s="3" t="n">
        <v>0.639158051666666</v>
      </c>
      <c r="X81" s="168" t="n">
        <v>-79.3400601455289</v>
      </c>
      <c r="Y81" s="168" t="n">
        <v>0.08305410075</v>
      </c>
      <c r="Z81" s="3" t="n">
        <v>144.783426845502</v>
      </c>
      <c r="AA81" s="3" t="n">
        <v>0.6197511075</v>
      </c>
      <c r="AB81" s="3" t="n">
        <v>94.8165485339097</v>
      </c>
      <c r="AC81" s="3" t="n">
        <v>116.879749166666</v>
      </c>
      <c r="AD81" s="168" t="n">
        <v>3.64302566666666</v>
      </c>
      <c r="AE81" s="168" t="n">
        <v>168.383233333333</v>
      </c>
      <c r="AF81" s="3" t="n">
        <v>212.26565</v>
      </c>
      <c r="AG81" s="3" t="n">
        <v>89.6859435246187</v>
      </c>
      <c r="AH81" s="168" t="n">
        <v>1.452680475</v>
      </c>
      <c r="AI81" s="168" t="n">
        <v>49.3612636093165</v>
      </c>
      <c r="AJ81" s="168" t="n">
        <v>235.0779275</v>
      </c>
      <c r="AK81" s="168" t="n">
        <v>24.2633016666666</v>
      </c>
      <c r="AL81" s="168" t="n">
        <v>24.3967856666666</v>
      </c>
      <c r="AM81" s="168" t="n">
        <v>24.3990939999999</v>
      </c>
      <c r="AN81" s="3" t="n">
        <v>1.23433715</v>
      </c>
      <c r="AO81" s="3" t="n">
        <v>1.22986670833333</v>
      </c>
      <c r="AP81" s="3" t="n">
        <v>1.22268620833333</v>
      </c>
      <c r="AQ81" s="168" t="n">
        <v>29.9489590833333</v>
      </c>
      <c r="AR81" s="168" t="n">
        <v>30.0046706666666</v>
      </c>
      <c r="AS81" s="168" t="n">
        <v>29.8323350833333</v>
      </c>
      <c r="AT81" s="168" t="n">
        <v>24.4646997833333</v>
      </c>
      <c r="AU81" s="168" t="n">
        <v>18.725517425</v>
      </c>
      <c r="AV81" s="168" t="n">
        <v>24.4643324333333</v>
      </c>
      <c r="AW81" s="168" t="n">
        <v>18.5051726333333</v>
      </c>
      <c r="AX81" s="168" t="n">
        <v>24.4573671333333</v>
      </c>
      <c r="AY81" s="168" t="n">
        <v>18.7525428166666</v>
      </c>
      <c r="AZ81" s="168" t="n">
        <v>0.354671873511564</v>
      </c>
      <c r="BA81" s="168" t="n">
        <v>0.316222604791922</v>
      </c>
      <c r="BB81" s="168" t="n">
        <v>0.353194082922754</v>
      </c>
      <c r="BC81" s="3" t="n">
        <v>0.325949734548478</v>
      </c>
      <c r="BD81" s="168" t="n">
        <v>0.352806937442152</v>
      </c>
      <c r="BE81" s="168" t="n">
        <v>0.377453660119397</v>
      </c>
      <c r="BF81" s="168" t="n">
        <v>8.67694037183313</v>
      </c>
      <c r="BG81" s="3" t="n">
        <v>5.92143189144566</v>
      </c>
      <c r="BH81" s="3" t="n">
        <v>8.64065756924505</v>
      </c>
      <c r="BI81" s="168" t="n">
        <v>6.03175622032004</v>
      </c>
      <c r="BJ81" s="168" t="n">
        <v>8.62872844351541</v>
      </c>
      <c r="BK81" s="168" t="n">
        <v>7.07821593916229</v>
      </c>
      <c r="BL81" s="168" t="n">
        <v>24.3229092166666</v>
      </c>
      <c r="BM81" s="168" t="n">
        <v>6.64325416666666E-005</v>
      </c>
      <c r="BN81" s="168" t="n">
        <v>1.033975E-005</v>
      </c>
      <c r="BO81" s="168" t="n">
        <v>4.37139166666666E-006</v>
      </c>
      <c r="BP81" s="168" t="n">
        <v>-3.25481666666666E-006</v>
      </c>
      <c r="BQ81" s="168" t="n">
        <v>-1.02042833333333E-005</v>
      </c>
      <c r="BR81" s="168" t="n">
        <v>-9.73097666666666E-005</v>
      </c>
      <c r="BS81" s="168" t="n">
        <v>85.6156172089771</v>
      </c>
      <c r="BT81" s="168" t="n">
        <v>5.23804917426851E-028</v>
      </c>
      <c r="BU81" s="168" t="n">
        <v>1.37044288E-029</v>
      </c>
      <c r="BV81" s="168" t="n">
        <v>2.51908467685185E-030</v>
      </c>
      <c r="BW81" s="3" t="n">
        <v>2.05861207962963E-030</v>
      </c>
      <c r="BX81" s="3" t="n">
        <v>1.31088538055555E-029</v>
      </c>
      <c r="BY81" s="3" t="n">
        <v>1.08516697935185E-027</v>
      </c>
      <c r="BZ81" s="169"/>
      <c r="CA81" s="169"/>
      <c r="CB81" s="169"/>
      <c r="CC81" s="169"/>
      <c r="CD81" s="169"/>
      <c r="CE81" s="169"/>
      <c r="CF81" s="169"/>
    </row>
    <row r="82" customFormat="false" ht="12.75" hidden="true" customHeight="false" outlineLevel="0" collapsed="false">
      <c r="A82" s="3" t="n">
        <v>6</v>
      </c>
      <c r="B82" s="3" t="n">
        <v>6.2</v>
      </c>
      <c r="C82" s="3" t="s">
        <v>326</v>
      </c>
      <c r="D82" s="3" t="s">
        <v>246</v>
      </c>
      <c r="E82" s="3" t="n">
        <v>290.529153908333</v>
      </c>
      <c r="F82" s="3" t="n">
        <v>236.677978333333</v>
      </c>
      <c r="G82" s="3" t="n">
        <v>196.188315719514</v>
      </c>
      <c r="H82" s="3" t="n">
        <v>53.851175575</v>
      </c>
      <c r="I82" s="3" t="n">
        <v>40.4896626138184</v>
      </c>
      <c r="J82" s="3" t="n">
        <v>94.3408381888184</v>
      </c>
      <c r="K82" s="3" t="n">
        <v>282.796389166666</v>
      </c>
      <c r="L82" s="3" t="n">
        <v>-29.9999999999999</v>
      </c>
      <c r="M82" s="3" t="n">
        <v>490.408492499999</v>
      </c>
      <c r="N82" s="3" t="n">
        <v>0</v>
      </c>
      <c r="O82" s="3" t="n">
        <v>283.110093333333</v>
      </c>
      <c r="P82" s="3" t="n">
        <v>-150</v>
      </c>
      <c r="Q82" s="3" t="n">
        <v>489.7227575</v>
      </c>
      <c r="R82" s="3" t="n">
        <v>-120.113190993051</v>
      </c>
      <c r="S82" s="3" t="n">
        <v>282.400006666666</v>
      </c>
      <c r="T82" s="3" t="n">
        <v>90</v>
      </c>
      <c r="U82" s="3" t="n">
        <v>489.21109</v>
      </c>
      <c r="V82" s="3" t="n">
        <v>120.005450589303</v>
      </c>
      <c r="W82" s="3" t="n">
        <v>0.641740846666666</v>
      </c>
      <c r="X82" s="3" t="n">
        <v>-79.1443124586924</v>
      </c>
      <c r="Y82" s="3" t="n">
        <v>0.082544609</v>
      </c>
      <c r="Z82" s="3" t="n">
        <v>144.869531280413</v>
      </c>
      <c r="AA82" s="3" t="n">
        <v>0.6245884775</v>
      </c>
      <c r="AB82" s="3" t="n">
        <v>95.1443345063479</v>
      </c>
      <c r="AC82" s="3" t="n">
        <v>117.822843333333</v>
      </c>
      <c r="AD82" s="3" t="n">
        <v>3.24127724166666</v>
      </c>
      <c r="AE82" s="3" t="n">
        <v>169.465033333333</v>
      </c>
      <c r="AF82" s="3" t="n">
        <v>212.281318333333</v>
      </c>
      <c r="AG82" s="3" t="n">
        <v>89.6685366887265</v>
      </c>
      <c r="AH82" s="3" t="n">
        <v>1.46628834166666</v>
      </c>
      <c r="AI82" s="3" t="n">
        <v>49.1656505676973</v>
      </c>
      <c r="AJ82" s="3" t="n">
        <v>236.677978333333</v>
      </c>
      <c r="AK82" s="3" t="n">
        <v>24.2612096666666</v>
      </c>
      <c r="AL82" s="3" t="n">
        <v>24.3952881666666</v>
      </c>
      <c r="AM82" s="3" t="n">
        <v>24.3971929999999</v>
      </c>
      <c r="AN82" s="3" t="n">
        <v>1.25737404166666</v>
      </c>
      <c r="AO82" s="3" t="n">
        <v>1.243539925</v>
      </c>
      <c r="AP82" s="3" t="n">
        <v>1.25742749166666</v>
      </c>
      <c r="AQ82" s="168" t="n">
        <v>30.50528425</v>
      </c>
      <c r="AR82" s="3" t="n">
        <v>30.3363909166666</v>
      </c>
      <c r="AS82" s="168" t="n">
        <v>30.6775965</v>
      </c>
      <c r="AT82" s="3" t="n">
        <v>24.4653426999999</v>
      </c>
      <c r="AU82" s="168" t="n">
        <v>18.724382475</v>
      </c>
      <c r="AV82" s="3" t="n">
        <v>24.4650328583333</v>
      </c>
      <c r="AW82" s="3" t="n">
        <v>18.5067728416666</v>
      </c>
      <c r="AX82" s="3" t="n">
        <v>24.4581772416666</v>
      </c>
      <c r="AY82" s="168" t="n">
        <v>18.7512259166666</v>
      </c>
      <c r="AZ82" s="168" t="n">
        <v>0.352965006315011</v>
      </c>
      <c r="BA82" s="168" t="n">
        <v>0.316791620722063</v>
      </c>
      <c r="BB82" s="168" t="n">
        <v>0.353348069532996</v>
      </c>
      <c r="BC82" s="3" t="n">
        <v>0.32580776242384</v>
      </c>
      <c r="BD82" s="3" t="n">
        <v>0.351964810604837</v>
      </c>
      <c r="BE82" s="3" t="n">
        <v>0.377594954281802</v>
      </c>
      <c r="BF82" s="3" t="n">
        <v>8.63540983127587</v>
      </c>
      <c r="BG82" s="3" t="n">
        <v>5.93172746391591</v>
      </c>
      <c r="BH82" s="3" t="n">
        <v>8.64467212618233</v>
      </c>
      <c r="BI82" s="3" t="n">
        <v>6.02965029602803</v>
      </c>
      <c r="BJ82" s="168" t="n">
        <v>8.60841771907216</v>
      </c>
      <c r="BK82" s="168" t="n">
        <v>7.08036830479129</v>
      </c>
      <c r="BL82" s="168" t="n">
        <v>24.324568425</v>
      </c>
      <c r="BM82" s="168" t="n">
        <v>9.84394999999999E-005</v>
      </c>
      <c r="BN82" s="168" t="n">
        <v>2.512905E-005</v>
      </c>
      <c r="BO82" s="168" t="n">
        <v>1.2090675E-005</v>
      </c>
      <c r="BP82" s="3" t="n">
        <v>-1.55225749999999E-005</v>
      </c>
      <c r="BQ82" s="168" t="n">
        <v>-1.1797175E-005</v>
      </c>
      <c r="BR82" s="168" t="n">
        <v>-0.000118237875</v>
      </c>
      <c r="BS82" s="168" t="n">
        <v>85.6272979881129</v>
      </c>
      <c r="BT82" s="168" t="n">
        <v>1.07677413536296E-027</v>
      </c>
      <c r="BU82" s="168" t="n">
        <v>7.0282431887037E-029</v>
      </c>
      <c r="BV82" s="168" t="n">
        <v>1.62629025379629E-029</v>
      </c>
      <c r="BW82" s="3" t="n">
        <v>2.68231964675925E-029</v>
      </c>
      <c r="BX82" s="3" t="n">
        <v>1.55812703787037E-029</v>
      </c>
      <c r="BY82" s="3" t="n">
        <v>1.55346549134722E-027</v>
      </c>
      <c r="BZ82" s="169"/>
      <c r="CA82" s="169"/>
      <c r="CB82" s="169"/>
      <c r="CC82" s="169"/>
      <c r="CD82" s="169"/>
      <c r="CE82" s="169"/>
      <c r="CF82" s="169"/>
    </row>
    <row r="83" customFormat="false" ht="12.75" hidden="true" customHeight="false" outlineLevel="0" collapsed="false">
      <c r="A83" s="3" t="n">
        <v>6</v>
      </c>
      <c r="B83" s="3" t="n">
        <v>6.2</v>
      </c>
      <c r="C83" s="3" t="s">
        <v>327</v>
      </c>
      <c r="D83" s="3" t="s">
        <v>246</v>
      </c>
      <c r="E83" s="3" t="n">
        <v>292.011182891666</v>
      </c>
      <c r="F83" s="3" t="n">
        <v>238.0460475</v>
      </c>
      <c r="G83" s="3" t="n">
        <v>197.560974310028</v>
      </c>
      <c r="H83" s="3" t="n">
        <v>53.9651353916666</v>
      </c>
      <c r="I83" s="3" t="n">
        <v>40.4850731899713</v>
      </c>
      <c r="J83" s="3" t="n">
        <v>94.450208581638</v>
      </c>
      <c r="K83" s="3" t="n">
        <v>282.973643333333</v>
      </c>
      <c r="L83" s="3" t="n">
        <v>-29.9999999999999</v>
      </c>
      <c r="M83" s="3" t="n">
        <v>490.757979166666</v>
      </c>
      <c r="N83" s="3" t="n">
        <v>0</v>
      </c>
      <c r="O83" s="3" t="n">
        <v>283.416499166666</v>
      </c>
      <c r="P83" s="3" t="n">
        <v>-150</v>
      </c>
      <c r="Q83" s="3" t="n">
        <v>490.3926175</v>
      </c>
      <c r="R83" s="3" t="n">
        <v>-120.130856702795</v>
      </c>
      <c r="S83" s="3" t="n">
        <v>282.762420833333</v>
      </c>
      <c r="T83" s="3" t="n">
        <v>90</v>
      </c>
      <c r="U83" s="3" t="n">
        <v>489.6572775</v>
      </c>
      <c r="V83" s="3" t="n">
        <v>119.987059603428</v>
      </c>
      <c r="W83" s="3" t="n">
        <v>0.6430996275</v>
      </c>
      <c r="X83" s="3" t="n">
        <v>-79.0846678314671</v>
      </c>
      <c r="Y83" s="3" t="n">
        <v>0.07504958</v>
      </c>
      <c r="Z83" s="3" t="n">
        <v>144.410509612067</v>
      </c>
      <c r="AA83" s="3" t="n">
        <v>0.623135880833333</v>
      </c>
      <c r="AB83" s="3" t="n">
        <v>96.0506066240258</v>
      </c>
      <c r="AC83" s="3" t="n">
        <v>118.468859166666</v>
      </c>
      <c r="AD83" s="3" t="n">
        <v>3.19961205833333</v>
      </c>
      <c r="AE83" s="3" t="n">
        <v>170.342711666666</v>
      </c>
      <c r="AF83" s="3" t="n">
        <v>212.546419166666</v>
      </c>
      <c r="AG83" s="3" t="n">
        <v>89.6419492288879</v>
      </c>
      <c r="AH83" s="3" t="n">
        <v>1.467155675</v>
      </c>
      <c r="AI83" s="3" t="n">
        <v>49.4035036760657</v>
      </c>
      <c r="AJ83" s="3" t="n">
        <v>238.0460475</v>
      </c>
      <c r="AK83" s="3" t="n">
        <v>24.2605383333333</v>
      </c>
      <c r="AL83" s="3" t="n">
        <v>24.3937214999999</v>
      </c>
      <c r="AM83" s="3" t="n">
        <v>24.39573725</v>
      </c>
      <c r="AN83" s="168" t="n">
        <v>1.27855845</v>
      </c>
      <c r="AO83" s="168" t="n">
        <v>1.25558316666666</v>
      </c>
      <c r="AP83" s="168" t="n">
        <v>1.280719625</v>
      </c>
      <c r="AQ83" s="3" t="n">
        <v>31.0183905833333</v>
      </c>
      <c r="AR83" s="3" t="n">
        <v>30.628225</v>
      </c>
      <c r="AS83" s="3" t="n">
        <v>31.2439965833333</v>
      </c>
      <c r="AT83" s="3" t="n">
        <v>24.465282</v>
      </c>
      <c r="AU83" s="3" t="n">
        <v>18.7233612416666</v>
      </c>
      <c r="AV83" s="3" t="n">
        <v>24.465018725</v>
      </c>
      <c r="AW83" s="3" t="n">
        <v>18.510929875</v>
      </c>
      <c r="AX83" s="3" t="n">
        <v>24.4584313833333</v>
      </c>
      <c r="AY83" s="3" t="n">
        <v>18.749579925</v>
      </c>
      <c r="AZ83" s="3" t="n">
        <v>0.352299358323742</v>
      </c>
      <c r="BA83" s="3" t="n">
        <v>0.316885622752936</v>
      </c>
      <c r="BB83" s="3" t="n">
        <v>0.35299347582534</v>
      </c>
      <c r="BC83" s="3" t="n">
        <v>0.325498887289368</v>
      </c>
      <c r="BD83" s="3" t="n">
        <v>0.351436036558808</v>
      </c>
      <c r="BE83" s="3" t="n">
        <v>0.377028921145651</v>
      </c>
      <c r="BF83" s="3" t="n">
        <v>8.61910314461616</v>
      </c>
      <c r="BG83" s="3" t="n">
        <v>5.93316400533904</v>
      </c>
      <c r="BH83" s="3" t="n">
        <v>8.63599199873391</v>
      </c>
      <c r="BI83" s="168" t="n">
        <v>6.02528662700772</v>
      </c>
      <c r="BJ83" s="168" t="n">
        <v>8.59557418782719</v>
      </c>
      <c r="BK83" s="168" t="n">
        <v>7.06913386147721</v>
      </c>
      <c r="BL83" s="168" t="n">
        <v>24.3267670166666</v>
      </c>
      <c r="BM83" s="168" t="n">
        <v>9.9198575E-005</v>
      </c>
      <c r="BN83" s="168" t="n">
        <v>2.66538E-005</v>
      </c>
      <c r="BO83" s="168" t="n">
        <v>9.56494166666666E-006</v>
      </c>
      <c r="BP83" s="168" t="n">
        <v>-1.62325416666666E-005</v>
      </c>
      <c r="BQ83" s="168" t="n">
        <v>-7.28943333333333E-006</v>
      </c>
      <c r="BR83" s="168" t="n">
        <v>-0.000117527016666666</v>
      </c>
      <c r="BS83" s="168" t="n">
        <v>85.6427776495379</v>
      </c>
      <c r="BT83" s="168" t="n">
        <v>1.09347910699722E-027</v>
      </c>
      <c r="BU83" s="168" t="n">
        <v>7.899852765E-029</v>
      </c>
      <c r="BV83" s="168" t="n">
        <v>1.01976432231481E-029</v>
      </c>
      <c r="BW83" s="3" t="n">
        <v>2.93213270583333E-029</v>
      </c>
      <c r="BX83" s="3" t="n">
        <v>5.94596564444444E-030</v>
      </c>
      <c r="BY83" s="3" t="n">
        <v>1.53488240401481E-027</v>
      </c>
      <c r="BZ83" s="169"/>
      <c r="CA83" s="169"/>
      <c r="CB83" s="169"/>
      <c r="CC83" s="169"/>
      <c r="CD83" s="169"/>
      <c r="CE83" s="169"/>
      <c r="CF83" s="169"/>
    </row>
    <row r="84" customFormat="false" ht="12.75" hidden="true" customHeight="false" outlineLevel="0" collapsed="false">
      <c r="A84" s="3" t="n">
        <v>6</v>
      </c>
      <c r="B84" s="3" t="n">
        <v>6.3</v>
      </c>
      <c r="C84" s="3" t="s">
        <v>328</v>
      </c>
      <c r="D84" s="3" t="s">
        <v>246</v>
      </c>
      <c r="E84" s="3" t="n">
        <v>680.869564083333</v>
      </c>
      <c r="F84" s="3" t="n">
        <v>619.341849166666</v>
      </c>
      <c r="G84" s="3" t="n">
        <v>551.687761368385</v>
      </c>
      <c r="H84" s="3" t="n">
        <v>61.5277149166666</v>
      </c>
      <c r="I84" s="168" t="n">
        <v>67.6540877982815</v>
      </c>
      <c r="J84" s="3" t="n">
        <v>129.181802714948</v>
      </c>
      <c r="K84" s="3" t="n">
        <v>280.740186666666</v>
      </c>
      <c r="L84" s="3" t="n">
        <v>-29.9999999999999</v>
      </c>
      <c r="M84" s="3" t="n">
        <v>486.456004166666</v>
      </c>
      <c r="N84" s="3" t="n">
        <v>0</v>
      </c>
      <c r="O84" s="168" t="n">
        <v>280.84573</v>
      </c>
      <c r="P84" s="3" t="n">
        <v>-150</v>
      </c>
      <c r="Q84" s="3" t="n">
        <v>486.222399166666</v>
      </c>
      <c r="R84" s="3" t="n">
        <v>-120.028692941903</v>
      </c>
      <c r="S84" s="3" t="n">
        <v>280.605268333333</v>
      </c>
      <c r="T84" s="168" t="n">
        <v>90</v>
      </c>
      <c r="U84" s="3" t="n">
        <v>486.072353333333</v>
      </c>
      <c r="V84" s="168" t="n">
        <v>120.016674748369</v>
      </c>
      <c r="W84" s="3" t="n">
        <v>1.109849375</v>
      </c>
      <c r="X84" s="168" t="n">
        <v>-79.0595565721164</v>
      </c>
      <c r="Y84" s="3" t="n">
        <v>0.466521265833333</v>
      </c>
      <c r="Z84" s="3" t="n">
        <v>-160.038210316736</v>
      </c>
      <c r="AA84" s="3" t="n">
        <v>1.57261560833333</v>
      </c>
      <c r="AB84" s="3" t="n">
        <v>98.8798077815885</v>
      </c>
      <c r="AC84" s="3" t="n">
        <v>203.239801666666</v>
      </c>
      <c r="AD84" s="3" t="n">
        <v>47.22908575</v>
      </c>
      <c r="AE84" s="3" t="n">
        <v>430.400676666666</v>
      </c>
      <c r="AF84" s="3" t="n">
        <v>209.189195833333</v>
      </c>
      <c r="AG84" s="3" t="n">
        <v>89.478194167524</v>
      </c>
      <c r="AH84" s="3" t="n">
        <v>3.25104345833333</v>
      </c>
      <c r="AI84" s="168" t="n">
        <v>65.0784795460788</v>
      </c>
      <c r="AJ84" s="168" t="n">
        <v>619.341849166666</v>
      </c>
      <c r="AK84" s="3" t="n">
        <v>24.069966</v>
      </c>
      <c r="AL84" s="3" t="n">
        <v>24.3096170833333</v>
      </c>
      <c r="AM84" s="3" t="n">
        <v>24.3121453333333</v>
      </c>
      <c r="AN84" s="3" t="n">
        <v>1.22484698333333</v>
      </c>
      <c r="AO84" s="3" t="n">
        <v>1.240694125</v>
      </c>
      <c r="AP84" s="3" t="n">
        <v>1.253948225</v>
      </c>
      <c r="AQ84" s="168" t="n">
        <v>29.4821781666666</v>
      </c>
      <c r="AR84" s="3" t="n">
        <v>30.1606776666666</v>
      </c>
      <c r="AS84" s="168" t="n">
        <v>30.486066</v>
      </c>
      <c r="AT84" s="168" t="n">
        <v>24.3055045916666</v>
      </c>
      <c r="AU84" s="168" t="n">
        <v>18.356116075</v>
      </c>
      <c r="AV84" s="3" t="n">
        <v>24.323003</v>
      </c>
      <c r="AW84" s="168" t="n">
        <v>18.1743459</v>
      </c>
      <c r="AX84" s="168" t="n">
        <v>24.265909675</v>
      </c>
      <c r="AY84" s="168" t="n">
        <v>18.4731112833333</v>
      </c>
      <c r="AZ84" s="168" t="n">
        <v>1.94233584472147</v>
      </c>
      <c r="BA84" s="3" t="n">
        <v>2.28727240080609</v>
      </c>
      <c r="BB84" s="3" t="n">
        <v>1.82330048849295</v>
      </c>
      <c r="BC84" s="3" t="n">
        <v>2.22588971554695</v>
      </c>
      <c r="BD84" s="3" t="n">
        <v>1.80235026222252</v>
      </c>
      <c r="BE84" s="3" t="n">
        <v>2.25100703049218</v>
      </c>
      <c r="BF84" s="3" t="n">
        <v>47.2094528043963</v>
      </c>
      <c r="BG84" s="3" t="n">
        <v>41.9854383896688</v>
      </c>
      <c r="BH84" s="3" t="n">
        <v>44.3481432489666</v>
      </c>
      <c r="BI84" s="168" t="n">
        <v>40.4540916557527</v>
      </c>
      <c r="BJ84" s="168" t="n">
        <v>43.7356668219916</v>
      </c>
      <c r="BK84" s="168" t="n">
        <v>41.5830963615774</v>
      </c>
      <c r="BL84" s="168" t="n">
        <v>24.244999725</v>
      </c>
      <c r="BM84" s="168" t="n">
        <v>24.2597187833333</v>
      </c>
      <c r="BN84" s="168" t="n">
        <v>24.2784227499999</v>
      </c>
      <c r="BO84" s="168" t="n">
        <v>24.2785798166666</v>
      </c>
      <c r="BP84" s="3" t="n">
        <v>-0.000165549658333333</v>
      </c>
      <c r="BQ84" s="168" t="n">
        <v>-0.000202594025</v>
      </c>
      <c r="BR84" s="168" t="n">
        <v>-0.000229408308333333</v>
      </c>
      <c r="BS84" s="168" t="n">
        <v>85.0680190618158</v>
      </c>
      <c r="BT84" s="3" t="n">
        <v>84.9255346994332</v>
      </c>
      <c r="BU84" s="3" t="n">
        <v>85.6746818673049</v>
      </c>
      <c r="BV84" s="168" t="n">
        <v>81.8679774994986</v>
      </c>
      <c r="BW84" s="3" t="n">
        <v>3.13240298770277E-027</v>
      </c>
      <c r="BX84" s="3" t="n">
        <v>4.6317721972824E-027</v>
      </c>
      <c r="BY84" s="3" t="n">
        <v>5.90281019101203E-027</v>
      </c>
      <c r="BZ84" s="169"/>
      <c r="CA84" s="169"/>
      <c r="CB84" s="169"/>
      <c r="CC84" s="169"/>
      <c r="CD84" s="169"/>
      <c r="CE84" s="169"/>
      <c r="CF84" s="169"/>
    </row>
    <row r="85" customFormat="false" ht="12.75" hidden="true" customHeight="false" outlineLevel="0" collapsed="false">
      <c r="A85" s="3" t="n">
        <v>6</v>
      </c>
      <c r="B85" s="3" t="n">
        <v>6.3</v>
      </c>
      <c r="C85" s="3" t="s">
        <v>329</v>
      </c>
      <c r="D85" s="3" t="s">
        <v>246</v>
      </c>
      <c r="E85" s="3" t="n">
        <v>680.408911833333</v>
      </c>
      <c r="F85" s="3" t="n">
        <v>618.85767</v>
      </c>
      <c r="G85" s="3" t="n">
        <v>553.229535365117</v>
      </c>
      <c r="H85" s="3" t="n">
        <v>61.5512418333333</v>
      </c>
      <c r="I85" s="3" t="n">
        <v>65.6281346348825</v>
      </c>
      <c r="J85" s="3" t="n">
        <v>127.179376468215</v>
      </c>
      <c r="K85" s="3" t="n">
        <v>280.951938333333</v>
      </c>
      <c r="L85" s="3" t="n">
        <v>-29.9999999999999</v>
      </c>
      <c r="M85" s="3" t="n">
        <v>486.770784166666</v>
      </c>
      <c r="N85" s="3" t="n">
        <v>0</v>
      </c>
      <c r="O85" s="3" t="n">
        <v>280.976275</v>
      </c>
      <c r="P85" s="3" t="n">
        <v>-150</v>
      </c>
      <c r="Q85" s="3" t="n">
        <v>486.4117275</v>
      </c>
      <c r="R85" s="3" t="n">
        <v>-120.04789876759</v>
      </c>
      <c r="S85" s="3" t="n">
        <v>280.744571666666</v>
      </c>
      <c r="T85" s="3" t="n">
        <v>90</v>
      </c>
      <c r="U85" s="3" t="n">
        <v>486.402656666666</v>
      </c>
      <c r="V85" s="3" t="n">
        <v>119.998706416449</v>
      </c>
      <c r="W85" s="3" t="n">
        <v>1.10953651666666</v>
      </c>
      <c r="X85" s="3" t="n">
        <v>-79.0461075247023</v>
      </c>
      <c r="Y85" s="3" t="n">
        <v>0.46492263</v>
      </c>
      <c r="Z85" s="3" t="n">
        <v>-160.099787522696</v>
      </c>
      <c r="AA85" s="3" t="n">
        <v>1.57064559166666</v>
      </c>
      <c r="AB85" s="3" t="n">
        <v>98.8523499168485</v>
      </c>
      <c r="AC85" s="3" t="n">
        <v>203.351873333333</v>
      </c>
      <c r="AD85" s="3" t="n">
        <v>47.0153351666666</v>
      </c>
      <c r="AE85" s="3" t="n">
        <v>430.041703333333</v>
      </c>
      <c r="AF85" s="3" t="n">
        <v>209.293629166666</v>
      </c>
      <c r="AG85" s="3" t="n">
        <v>89.4554090053504</v>
      </c>
      <c r="AH85" s="3" t="n">
        <v>3.2478131</v>
      </c>
      <c r="AI85" s="3" t="n">
        <v>65.0194415743544</v>
      </c>
      <c r="AJ85" s="3" t="n">
        <v>618.85767</v>
      </c>
      <c r="AK85" s="3" t="n">
        <v>24.08144225</v>
      </c>
      <c r="AL85" s="3" t="n">
        <v>24.3087971666666</v>
      </c>
      <c r="AM85" s="3" t="n">
        <v>24.3106879166666</v>
      </c>
      <c r="AN85" s="3" t="n">
        <v>1.24777184166666</v>
      </c>
      <c r="AO85" s="3" t="n">
        <v>1.25902955</v>
      </c>
      <c r="AP85" s="3" t="n">
        <v>1.27290729166666</v>
      </c>
      <c r="AQ85" s="3" t="n">
        <v>30.0484911666666</v>
      </c>
      <c r="AR85" s="3" t="n">
        <v>30.6053749166666</v>
      </c>
      <c r="AS85" s="3" t="n">
        <v>30.9451493333333</v>
      </c>
      <c r="AT85" s="3" t="n">
        <v>24.3054522416666</v>
      </c>
      <c r="AU85" s="3" t="n">
        <v>18.3572153</v>
      </c>
      <c r="AV85" s="3" t="n">
        <v>24.3228443666666</v>
      </c>
      <c r="AW85" s="3" t="n">
        <v>18.178452925</v>
      </c>
      <c r="AX85" s="3" t="n">
        <v>24.2654843666666</v>
      </c>
      <c r="AY85" s="3" t="n">
        <v>18.466883</v>
      </c>
      <c r="AZ85" s="3" t="n">
        <v>1.9437091800635</v>
      </c>
      <c r="BA85" s="3" t="n">
        <v>2.28767101382051</v>
      </c>
      <c r="BB85" s="3" t="n">
        <v>1.82296781218534</v>
      </c>
      <c r="BC85" s="3" t="n">
        <v>2.22563570371325</v>
      </c>
      <c r="BD85" s="3" t="n">
        <v>1.80507961192715</v>
      </c>
      <c r="BE85" s="3" t="n">
        <v>2.25432930150371</v>
      </c>
      <c r="BF85" s="3" t="n">
        <v>47.2427306298135</v>
      </c>
      <c r="BG85" s="3" t="n">
        <v>41.9952693866557</v>
      </c>
      <c r="BH85" s="3" t="n">
        <v>44.3397623743374</v>
      </c>
      <c r="BI85" s="3" t="n">
        <v>40.4586138549849</v>
      </c>
      <c r="BJ85" s="3" t="n">
        <v>43.8011280932685</v>
      </c>
      <c r="BK85" s="3" t="n">
        <v>41.6304147576078</v>
      </c>
      <c r="BL85" s="3" t="n">
        <v>24.2453810083333</v>
      </c>
      <c r="BM85" s="168" t="n">
        <v>24.2596232</v>
      </c>
      <c r="BN85" s="168" t="n">
        <v>24.2786910999999</v>
      </c>
      <c r="BO85" s="168" t="n">
        <v>24.2794855583333</v>
      </c>
      <c r="BP85" s="3" t="n">
        <v>-0.000147542966666666</v>
      </c>
      <c r="BQ85" s="3" t="n">
        <v>-0.000232068658333333</v>
      </c>
      <c r="BR85" s="3" t="n">
        <v>-0.000245351516666666</v>
      </c>
      <c r="BS85" s="3" t="n">
        <v>85.0706946831778</v>
      </c>
      <c r="BT85" s="168" t="n">
        <v>84.9248654877653</v>
      </c>
      <c r="BU85" s="168" t="n">
        <v>85.6765758066293</v>
      </c>
      <c r="BV85" s="168" t="n">
        <v>81.8740859716298</v>
      </c>
      <c r="BW85" s="3" t="n">
        <v>2.42602204780555E-027</v>
      </c>
      <c r="BX85" s="3" t="n">
        <v>5.98521011374907E-027</v>
      </c>
      <c r="BY85" s="3" t="n">
        <v>6.6892456008E-027</v>
      </c>
      <c r="BZ85" s="169"/>
      <c r="CA85" s="169"/>
      <c r="CB85" s="169"/>
      <c r="CC85" s="169"/>
      <c r="CD85" s="169"/>
      <c r="CE85" s="169"/>
      <c r="CF85" s="169"/>
    </row>
    <row r="86" customFormat="false" ht="12.75" hidden="true" customHeight="false" outlineLevel="0" collapsed="false">
      <c r="A86" s="3" t="n">
        <v>6</v>
      </c>
      <c r="B86" s="3" t="n">
        <v>6.3</v>
      </c>
      <c r="C86" s="3" t="s">
        <v>330</v>
      </c>
      <c r="D86" s="3" t="s">
        <v>246</v>
      </c>
      <c r="E86" s="3" t="n">
        <v>680.735256416666</v>
      </c>
      <c r="F86" s="3" t="n">
        <v>619.273399166666</v>
      </c>
      <c r="G86" s="3" t="n">
        <v>554.283418307124</v>
      </c>
      <c r="H86" s="3" t="n">
        <v>61.46185725</v>
      </c>
      <c r="I86" s="3" t="n">
        <v>64.989980859542</v>
      </c>
      <c r="J86" s="3" t="n">
        <v>126.451838109542</v>
      </c>
      <c r="K86" s="3" t="n">
        <v>280.709065</v>
      </c>
      <c r="L86" s="3" t="n">
        <v>-29.9999999999999</v>
      </c>
      <c r="M86" s="3" t="n">
        <v>486.287495833333</v>
      </c>
      <c r="N86" s="3" t="n">
        <v>0</v>
      </c>
      <c r="O86" s="3" t="n">
        <v>280.708085</v>
      </c>
      <c r="P86" s="3" t="n">
        <v>-150</v>
      </c>
      <c r="Q86" s="3" t="n">
        <v>486.028668333333</v>
      </c>
      <c r="R86" s="3" t="n">
        <v>-120.013597516638</v>
      </c>
      <c r="S86" s="3" t="n">
        <v>280.559613333333</v>
      </c>
      <c r="T86" s="3" t="n">
        <v>90</v>
      </c>
      <c r="U86" s="3" t="n">
        <v>486.063594166666</v>
      </c>
      <c r="V86" s="3" t="n">
        <v>120.021795003804</v>
      </c>
      <c r="W86" s="3" t="n">
        <v>1.10999288333333</v>
      </c>
      <c r="X86" s="3" t="n">
        <v>-79.0500188131284</v>
      </c>
      <c r="Y86" s="3" t="n">
        <v>0.466413098333333</v>
      </c>
      <c r="Z86" s="3" t="n">
        <v>-160.051780011537</v>
      </c>
      <c r="AA86" s="3" t="n">
        <v>1.57261183333333</v>
      </c>
      <c r="AB86" s="3" t="n">
        <v>98.8807779474814</v>
      </c>
      <c r="AC86" s="3" t="n">
        <v>203.2772675</v>
      </c>
      <c r="AD86" s="3" t="n">
        <v>47.13523225</v>
      </c>
      <c r="AE86" s="3" t="n">
        <v>430.322756666666</v>
      </c>
      <c r="AF86" s="3" t="n">
        <v>209.1433425</v>
      </c>
      <c r="AG86" s="3" t="n">
        <v>89.4925059191968</v>
      </c>
      <c r="AH86" s="3" t="n">
        <v>3.25138255</v>
      </c>
      <c r="AI86" s="3" t="n">
        <v>65.0933433799237</v>
      </c>
      <c r="AJ86" s="3" t="n">
        <v>619.273399166666</v>
      </c>
      <c r="AK86" s="3" t="n">
        <v>24.1087959999999</v>
      </c>
      <c r="AL86" s="3" t="n">
        <v>24.3089075833333</v>
      </c>
      <c r="AM86" s="3" t="n">
        <v>24.3096538333333</v>
      </c>
      <c r="AN86" s="3" t="n">
        <v>1.266328</v>
      </c>
      <c r="AO86" s="3" t="n">
        <v>1.26704101666666</v>
      </c>
      <c r="AP86" s="3" t="n">
        <v>1.28621298333333</v>
      </c>
      <c r="AQ86" s="3" t="n">
        <v>30.52952625</v>
      </c>
      <c r="AR86" s="3" t="n">
        <v>30.8002659166666</v>
      </c>
      <c r="AS86" s="3" t="n">
        <v>31.2672911666666</v>
      </c>
      <c r="AT86" s="3" t="n">
        <v>24.3053823833333</v>
      </c>
      <c r="AU86" s="3" t="n">
        <v>18.3527268583333</v>
      </c>
      <c r="AV86" s="3" t="n">
        <v>24.3227546916666</v>
      </c>
      <c r="AW86" s="3" t="n">
        <v>18.1785502166666</v>
      </c>
      <c r="AX86" s="3" t="n">
        <v>24.2668784666666</v>
      </c>
      <c r="AY86" s="3" t="n">
        <v>18.46076355</v>
      </c>
      <c r="AZ86" s="3" t="n">
        <v>1.94554898087932</v>
      </c>
      <c r="BA86" s="3" t="n">
        <v>2.28678531265165</v>
      </c>
      <c r="BB86" s="3" t="n">
        <v>1.82283496118567</v>
      </c>
      <c r="BC86" s="3" t="n">
        <v>2.22558225087499</v>
      </c>
      <c r="BD86" s="3" t="n">
        <v>1.81002431445659</v>
      </c>
      <c r="BE86" s="3" t="n">
        <v>2.25969611503189</v>
      </c>
      <c r="BF86" s="3" t="n">
        <v>47.2873119292674</v>
      </c>
      <c r="BG86" s="3" t="n">
        <v>41.9687463608434</v>
      </c>
      <c r="BH86" s="3" t="n">
        <v>44.336367609903</v>
      </c>
      <c r="BI86" s="3" t="n">
        <v>40.4578587079063</v>
      </c>
      <c r="BJ86" s="3" t="n">
        <v>43.9236407074643</v>
      </c>
      <c r="BK86" s="3" t="n">
        <v>41.7157149041742</v>
      </c>
      <c r="BL86" s="3" t="n">
        <v>24.245377675</v>
      </c>
      <c r="BM86" s="168" t="n">
        <v>24.2594096083333</v>
      </c>
      <c r="BN86" s="168" t="n">
        <v>24.2785880333333</v>
      </c>
      <c r="BO86" s="168" t="n">
        <v>24.2794913833333</v>
      </c>
      <c r="BP86" s="3" t="n">
        <v>-0.000108718658333333</v>
      </c>
      <c r="BQ86" s="3" t="n">
        <v>-0.000227960833333333</v>
      </c>
      <c r="BR86" s="3" t="n">
        <v>-0.000235853941666666</v>
      </c>
      <c r="BS86" s="3" t="n">
        <v>85.0706712906288</v>
      </c>
      <c r="BT86" s="168" t="n">
        <v>84.923370065982</v>
      </c>
      <c r="BU86" s="168" t="n">
        <v>85.6758483877741</v>
      </c>
      <c r="BV86" s="168" t="n">
        <v>81.8741252564821</v>
      </c>
      <c r="BW86" s="3" t="n">
        <v>1.31449382191203E-027</v>
      </c>
      <c r="BX86" s="3" t="n">
        <v>5.77448481754629E-027</v>
      </c>
      <c r="BY86" s="3" t="n">
        <v>6.18102221325277E-027</v>
      </c>
      <c r="BZ86" s="169"/>
      <c r="CA86" s="169"/>
      <c r="CB86" s="169"/>
      <c r="CC86" s="169"/>
      <c r="CD86" s="169"/>
      <c r="CE86" s="169"/>
      <c r="CF86" s="169"/>
    </row>
    <row r="87" customFormat="false" ht="12.75" hidden="true" customHeight="false" outlineLevel="0" collapsed="false">
      <c r="A87" s="3" t="n">
        <v>6</v>
      </c>
      <c r="B87" s="3" t="n">
        <v>6.4</v>
      </c>
      <c r="C87" s="3" t="s">
        <v>331</v>
      </c>
      <c r="D87" s="3" t="s">
        <v>246</v>
      </c>
      <c r="E87" s="3" t="n">
        <v>1053.82437641666</v>
      </c>
      <c r="F87" s="3" t="n">
        <v>977.9352525</v>
      </c>
      <c r="G87" s="3" t="n">
        <v>881.290359515886</v>
      </c>
      <c r="H87" s="3" t="n">
        <v>75.8891239166666</v>
      </c>
      <c r="I87" s="168" t="n">
        <v>96.6448929841137</v>
      </c>
      <c r="J87" s="3" t="n">
        <v>172.53401690078</v>
      </c>
      <c r="K87" s="3" t="n">
        <v>280.611780833333</v>
      </c>
      <c r="L87" s="3" t="n">
        <v>-29.9999999999999</v>
      </c>
      <c r="M87" s="3" t="n">
        <v>486.404258333333</v>
      </c>
      <c r="N87" s="3" t="n">
        <v>0</v>
      </c>
      <c r="O87" s="168" t="n">
        <v>280.852395833333</v>
      </c>
      <c r="P87" s="3" t="n">
        <v>-150</v>
      </c>
      <c r="Q87" s="3" t="n">
        <v>486.126648333333</v>
      </c>
      <c r="R87" s="3" t="n">
        <v>-120.050331943337</v>
      </c>
      <c r="S87" s="3" t="n">
        <v>280.451395833333</v>
      </c>
      <c r="T87" s="168" t="n">
        <v>90</v>
      </c>
      <c r="U87" s="168" t="n">
        <v>485.743020833333</v>
      </c>
      <c r="V87" s="168" t="n">
        <v>119.996381685508</v>
      </c>
      <c r="W87" s="168" t="n">
        <v>1.55434850833333</v>
      </c>
      <c r="X87" s="168" t="n">
        <v>-80.804031422278</v>
      </c>
      <c r="Y87" s="168" t="n">
        <v>0.909681823333333</v>
      </c>
      <c r="Z87" s="3" t="n">
        <v>-157.481226821658</v>
      </c>
      <c r="AA87" s="3" t="n">
        <v>2.46188044166666</v>
      </c>
      <c r="AB87" s="3" t="n">
        <v>97.449298172202</v>
      </c>
      <c r="AC87" s="3" t="n">
        <v>274.541253333333</v>
      </c>
      <c r="AD87" s="3" t="n">
        <v>100.219408916666</v>
      </c>
      <c r="AE87" s="168" t="n">
        <v>679.063714166666</v>
      </c>
      <c r="AF87" s="168" t="n">
        <v>207.289674166666</v>
      </c>
      <c r="AG87" s="3" t="n">
        <v>89.2538139826466</v>
      </c>
      <c r="AH87" s="168" t="n">
        <v>4.96730806666666</v>
      </c>
      <c r="AI87" s="168" t="n">
        <v>71.0141090021125</v>
      </c>
      <c r="AJ87" s="168" t="n">
        <v>977.9352525</v>
      </c>
      <c r="AK87" s="168" t="n">
        <v>24.0377748333333</v>
      </c>
      <c r="AL87" s="168" t="n">
        <v>24.2246865833333</v>
      </c>
      <c r="AM87" s="168" t="n">
        <v>24.2272456666666</v>
      </c>
      <c r="AN87" s="3" t="n">
        <v>1.19007773333333</v>
      </c>
      <c r="AO87" s="3" t="n">
        <v>1.18894585833333</v>
      </c>
      <c r="AP87" s="3" t="n">
        <v>1.19614390833333</v>
      </c>
      <c r="AQ87" s="168" t="n">
        <v>28.6066951666666</v>
      </c>
      <c r="AR87" s="168" t="n">
        <v>28.8017260833333</v>
      </c>
      <c r="AS87" s="168" t="n">
        <v>28.9791750833333</v>
      </c>
      <c r="AT87" s="168" t="n">
        <v>24.16147745</v>
      </c>
      <c r="AU87" s="168" t="n">
        <v>18.1025217583333</v>
      </c>
      <c r="AV87" s="168" t="n">
        <v>24.1810763416666</v>
      </c>
      <c r="AW87" s="168" t="n">
        <v>17.951351325</v>
      </c>
      <c r="AX87" s="168" t="n">
        <v>24.1202745416666</v>
      </c>
      <c r="AY87" s="168" t="n">
        <v>18.2061654583333</v>
      </c>
      <c r="AZ87" s="168" t="n">
        <v>3.43993363816299</v>
      </c>
      <c r="BA87" s="168" t="n">
        <v>4.06861177480331</v>
      </c>
      <c r="BB87" s="168" t="n">
        <v>3.22817010206488</v>
      </c>
      <c r="BC87" s="168" t="n">
        <v>3.96330875509114</v>
      </c>
      <c r="BD87" s="168" t="n">
        <v>3.18949527059879</v>
      </c>
      <c r="BE87" s="168" t="n">
        <v>3.95422519544559</v>
      </c>
      <c r="BF87" s="168" t="n">
        <v>83.1138777317189</v>
      </c>
      <c r="BG87" s="3" t="n">
        <v>73.6521484659447</v>
      </c>
      <c r="BH87" s="3" t="n">
        <v>78.0606279107739</v>
      </c>
      <c r="BI87" s="168" t="n">
        <v>71.1467602344555</v>
      </c>
      <c r="BJ87" s="168" t="n">
        <v>76.9314882386113</v>
      </c>
      <c r="BK87" s="168" t="n">
        <v>71.9912793765062</v>
      </c>
      <c r="BL87" s="168" t="n">
        <v>24.1586831333333</v>
      </c>
      <c r="BM87" s="168" t="n">
        <v>24.1745397916666</v>
      </c>
      <c r="BN87" s="168" t="n">
        <v>24.1933884166666</v>
      </c>
      <c r="BO87" s="168" t="n">
        <v>24.1894117916666</v>
      </c>
      <c r="BP87" s="168" t="n">
        <v>24.1755335083333</v>
      </c>
      <c r="BQ87" s="168" t="n">
        <v>24.1843093583333</v>
      </c>
      <c r="BR87" s="168" t="n">
        <v>24.1867837583333</v>
      </c>
      <c r="BS87" s="168" t="n">
        <v>84.4633825461115</v>
      </c>
      <c r="BT87" s="168" t="n">
        <v>84.3302127275081</v>
      </c>
      <c r="BU87" s="168" t="n">
        <v>85.0755876685678</v>
      </c>
      <c r="BV87" s="168" t="n">
        <v>81.2677281824746</v>
      </c>
      <c r="BW87" s="3" t="n">
        <v>83.0193779725834</v>
      </c>
      <c r="BX87" s="3" t="n">
        <v>78.9312847294217</v>
      </c>
      <c r="BY87" s="3" t="n">
        <v>81.025001278979</v>
      </c>
      <c r="BZ87" s="169"/>
      <c r="CA87" s="169"/>
      <c r="CB87" s="169"/>
      <c r="CC87" s="169"/>
      <c r="CD87" s="169"/>
      <c r="CE87" s="169"/>
      <c r="CF87" s="169"/>
    </row>
    <row r="88" customFormat="false" ht="12.75" hidden="true" customHeight="false" outlineLevel="0" collapsed="false">
      <c r="A88" s="3" t="n">
        <v>6</v>
      </c>
      <c r="B88" s="3" t="n">
        <v>6.4</v>
      </c>
      <c r="C88" s="3" t="s">
        <v>332</v>
      </c>
      <c r="D88" s="3" t="s">
        <v>246</v>
      </c>
      <c r="E88" s="3" t="n">
        <v>1050.9292665</v>
      </c>
      <c r="F88" s="3" t="n">
        <v>974.087484166666</v>
      </c>
      <c r="G88" s="3" t="n">
        <v>883.023896963199</v>
      </c>
      <c r="H88" s="3" t="n">
        <v>76.8417823333333</v>
      </c>
      <c r="I88" s="168" t="n">
        <v>91.063587203467</v>
      </c>
      <c r="J88" s="3" t="n">
        <v>167.9053695368</v>
      </c>
      <c r="K88" s="3" t="n">
        <v>280.726754166666</v>
      </c>
      <c r="L88" s="3" t="n">
        <v>-29.9999999999999</v>
      </c>
      <c r="M88" s="3" t="n">
        <v>486.556845833333</v>
      </c>
      <c r="N88" s="3" t="n">
        <v>0</v>
      </c>
      <c r="O88" s="168" t="n">
        <v>280.9982175</v>
      </c>
      <c r="P88" s="3" t="n">
        <v>-150</v>
      </c>
      <c r="Q88" s="3" t="n">
        <v>486.525838333333</v>
      </c>
      <c r="R88" s="3" t="n">
        <v>-120.0606608423</v>
      </c>
      <c r="S88" s="3" t="n">
        <v>280.708848333333</v>
      </c>
      <c r="T88" s="168" t="n">
        <v>90</v>
      </c>
      <c r="U88" s="168" t="n">
        <v>486.088950833333</v>
      </c>
      <c r="V88" s="168" t="n">
        <v>119.951897838418</v>
      </c>
      <c r="W88" s="168" t="n">
        <v>1.54995339166666</v>
      </c>
      <c r="X88" s="168" t="n">
        <v>-80.808608601988</v>
      </c>
      <c r="Y88" s="168" t="n">
        <v>0.904615266666666</v>
      </c>
      <c r="Z88" s="3" t="n">
        <v>-157.451008571862</v>
      </c>
      <c r="AA88" s="3" t="n">
        <v>2.45240329166666</v>
      </c>
      <c r="AB88" s="3" t="n">
        <v>97.4116118399058</v>
      </c>
      <c r="AC88" s="3" t="n">
        <v>273.94838</v>
      </c>
      <c r="AD88" s="3" t="n">
        <v>99.898509</v>
      </c>
      <c r="AE88" s="168" t="n">
        <v>677.0823775</v>
      </c>
      <c r="AF88" s="168" t="n">
        <v>207.290445</v>
      </c>
      <c r="AG88" s="3" t="n">
        <v>89.2148437282847</v>
      </c>
      <c r="AH88" s="168" t="n">
        <v>4.949163525</v>
      </c>
      <c r="AI88" s="168" t="n">
        <v>70.9252549917357</v>
      </c>
      <c r="AJ88" s="168" t="n">
        <v>974.087484166666</v>
      </c>
      <c r="AK88" s="168" t="n">
        <v>24.0341385</v>
      </c>
      <c r="AL88" s="168" t="n">
        <v>24.22182825</v>
      </c>
      <c r="AM88" s="168" t="n">
        <v>24.2243301666666</v>
      </c>
      <c r="AN88" s="168" t="n">
        <v>1.21832436666666</v>
      </c>
      <c r="AO88" s="3" t="n">
        <v>1.21981438333333</v>
      </c>
      <c r="AP88" s="3" t="n">
        <v>1.22319733333333</v>
      </c>
      <c r="AQ88" s="168" t="n">
        <v>29.2812625833333</v>
      </c>
      <c r="AR88" s="168" t="n">
        <v>29.54602525</v>
      </c>
      <c r="AS88" s="168" t="n">
        <v>29.6310439166666</v>
      </c>
      <c r="AT88" s="168" t="n">
        <v>24.1592622333333</v>
      </c>
      <c r="AU88" s="168" t="n">
        <v>18.1225077833333</v>
      </c>
      <c r="AV88" s="168" t="n">
        <v>24.179404625</v>
      </c>
      <c r="AW88" s="168" t="n">
        <v>17.9422340416666</v>
      </c>
      <c r="AX88" s="168" t="n">
        <v>24.12417485</v>
      </c>
      <c r="AY88" s="168" t="n">
        <v>18.1958932333333</v>
      </c>
      <c r="AZ88" s="168" t="n">
        <v>3.45336816172123</v>
      </c>
      <c r="BA88" s="168" t="n">
        <v>4.07584348601802</v>
      </c>
      <c r="BB88" s="168" t="n">
        <v>3.22633566861151</v>
      </c>
      <c r="BC88" s="168" t="n">
        <v>3.96051841711359</v>
      </c>
      <c r="BD88" s="168" t="n">
        <v>3.17153867660699</v>
      </c>
      <c r="BE88" s="168" t="n">
        <v>3.9314476876942</v>
      </c>
      <c r="BF88" s="168" t="n">
        <v>83.4308267281901</v>
      </c>
      <c r="BG88" s="3" t="n">
        <v>73.8645061278949</v>
      </c>
      <c r="BH88" s="3" t="n">
        <v>78.0108756714065</v>
      </c>
      <c r="BI88" s="168" t="n">
        <v>71.060548596238</v>
      </c>
      <c r="BJ88" s="168" t="n">
        <v>76.5107527737703</v>
      </c>
      <c r="BK88" s="168" t="n">
        <v>71.5361990572871</v>
      </c>
      <c r="BL88" s="168" t="n">
        <v>24.1592432083333</v>
      </c>
      <c r="BM88" s="168" t="n">
        <v>24.17432955</v>
      </c>
      <c r="BN88" s="168" t="n">
        <v>24.1936767833333</v>
      </c>
      <c r="BO88" s="168" t="n">
        <v>24.189306975</v>
      </c>
      <c r="BP88" s="168" t="n">
        <v>24.1765978083333</v>
      </c>
      <c r="BQ88" s="168" t="n">
        <v>24.1836370583333</v>
      </c>
      <c r="BR88" s="168" t="n">
        <v>24.1845510916666</v>
      </c>
      <c r="BS88" s="168" t="n">
        <v>84.467298506692</v>
      </c>
      <c r="BT88" s="168" t="n">
        <v>84.3287459218198</v>
      </c>
      <c r="BU88" s="168" t="n">
        <v>85.0776157434646</v>
      </c>
      <c r="BV88" s="168" t="n">
        <v>81.2670238854833</v>
      </c>
      <c r="BW88" s="3" t="n">
        <v>83.0266877368864</v>
      </c>
      <c r="BX88" s="3" t="n">
        <v>78.9268964816265</v>
      </c>
      <c r="BY88" s="3" t="n">
        <v>81.0100431558065</v>
      </c>
      <c r="BZ88" s="169"/>
      <c r="CA88" s="169"/>
      <c r="CB88" s="169"/>
      <c r="CC88" s="169"/>
      <c r="CD88" s="169"/>
      <c r="CE88" s="169"/>
      <c r="CF88" s="169"/>
    </row>
    <row r="89" customFormat="false" ht="12.75" hidden="true" customHeight="false" outlineLevel="0" collapsed="false">
      <c r="A89" s="3" t="n">
        <v>6</v>
      </c>
      <c r="B89" s="3" t="n">
        <v>6.4</v>
      </c>
      <c r="C89" s="3" t="s">
        <v>333</v>
      </c>
      <c r="D89" s="3" t="s">
        <v>246</v>
      </c>
      <c r="E89" s="3" t="n">
        <v>1050.45873925</v>
      </c>
      <c r="F89" s="3" t="n">
        <v>973.548146666666</v>
      </c>
      <c r="G89" s="3" t="n">
        <v>883.915277391907</v>
      </c>
      <c r="H89" s="3" t="n">
        <v>76.9105925833333</v>
      </c>
      <c r="I89" s="168" t="n">
        <v>89.6328692747592</v>
      </c>
      <c r="J89" s="3" t="n">
        <v>166.543461858092</v>
      </c>
      <c r="K89" s="3" t="n">
        <v>280.44731</v>
      </c>
      <c r="L89" s="3" t="n">
        <v>-29.9999999999999</v>
      </c>
      <c r="M89" s="3" t="n">
        <v>486.011284166666</v>
      </c>
      <c r="N89" s="3" t="n">
        <v>0</v>
      </c>
      <c r="O89" s="168" t="n">
        <v>280.618441666666</v>
      </c>
      <c r="P89" s="3" t="n">
        <v>-150</v>
      </c>
      <c r="Q89" s="3" t="n">
        <v>485.817250833333</v>
      </c>
      <c r="R89" s="3" t="n">
        <v>-120.026404955594</v>
      </c>
      <c r="S89" s="3" t="n">
        <v>280.3352275</v>
      </c>
      <c r="T89" s="168" t="n">
        <v>90</v>
      </c>
      <c r="U89" s="3" t="n">
        <v>485.554836666666</v>
      </c>
      <c r="V89" s="168" t="n">
        <v>119.992213019645</v>
      </c>
      <c r="W89" s="3" t="n">
        <v>1.55051455</v>
      </c>
      <c r="X89" s="3" t="n">
        <v>-80.8108164109821</v>
      </c>
      <c r="Y89" s="3" t="n">
        <v>0.906748533333333</v>
      </c>
      <c r="Z89" s="3" t="n">
        <v>-157.438183895517</v>
      </c>
      <c r="AA89" s="3" t="n">
        <v>2.45514730833333</v>
      </c>
      <c r="AB89" s="3" t="n">
        <v>97.4144794764045</v>
      </c>
      <c r="AC89" s="3" t="n">
        <v>273.68048</v>
      </c>
      <c r="AD89" s="3" t="n">
        <v>99.9066684166666</v>
      </c>
      <c r="AE89" s="3" t="n">
        <v>676.871590833333</v>
      </c>
      <c r="AF89" s="3" t="n">
        <v>206.962671666666</v>
      </c>
      <c r="AG89" s="3" t="n">
        <v>89.2480605116364</v>
      </c>
      <c r="AH89" s="3" t="n">
        <v>4.953818275</v>
      </c>
      <c r="AI89" s="168" t="n">
        <v>70.9738272184188</v>
      </c>
      <c r="AJ89" s="168" t="n">
        <v>973.548146666666</v>
      </c>
      <c r="AK89" s="3" t="n">
        <v>24.0265215</v>
      </c>
      <c r="AL89" s="3" t="n">
        <v>24.2205141666666</v>
      </c>
      <c r="AM89" s="3" t="n">
        <v>24.2223919166666</v>
      </c>
      <c r="AN89" s="3" t="n">
        <v>1.23344200833333</v>
      </c>
      <c r="AO89" s="3" t="n">
        <v>1.23557118333333</v>
      </c>
      <c r="AP89" s="3" t="n">
        <v>1.240007075</v>
      </c>
      <c r="AQ89" s="168" t="n">
        <v>29.63519325</v>
      </c>
      <c r="AR89" s="3" t="n">
        <v>29.9260470833333</v>
      </c>
      <c r="AS89" s="168" t="n">
        <v>30.0358350833333</v>
      </c>
      <c r="AT89" s="3" t="n">
        <v>24.1579386583333</v>
      </c>
      <c r="AU89" s="168" t="n">
        <v>18.1150788666666</v>
      </c>
      <c r="AV89" s="3" t="n">
        <v>24.1783177166666</v>
      </c>
      <c r="AW89" s="168" t="n">
        <v>17.9366746083333</v>
      </c>
      <c r="AX89" s="168" t="n">
        <v>24.1252500416666</v>
      </c>
      <c r="AY89" s="168" t="n">
        <v>18.1878578</v>
      </c>
      <c r="AZ89" s="168" t="n">
        <v>3.4555272523175</v>
      </c>
      <c r="BA89" s="3" t="n">
        <v>4.07362132675645</v>
      </c>
      <c r="BB89" s="3" t="n">
        <v>3.22482201765641</v>
      </c>
      <c r="BC89" s="3" t="n">
        <v>3.95900399041544</v>
      </c>
      <c r="BD89" s="3" t="n">
        <v>3.17081667644056</v>
      </c>
      <c r="BE89" s="3" t="n">
        <v>3.92831079018725</v>
      </c>
      <c r="BF89" s="3" t="n">
        <v>83.4784153418034</v>
      </c>
      <c r="BG89" s="3" t="n">
        <v>73.7939714491688</v>
      </c>
      <c r="BH89" s="3" t="n">
        <v>77.9707713665805</v>
      </c>
      <c r="BI89" s="168" t="n">
        <v>71.0113663589698</v>
      </c>
      <c r="BJ89" s="168" t="n">
        <v>76.4967435528691</v>
      </c>
      <c r="BK89" s="168" t="n">
        <v>71.4475555889119</v>
      </c>
      <c r="BL89" s="168" t="n">
        <v>24.1572889166666</v>
      </c>
      <c r="BM89" s="168" t="n">
        <v>24.1737737333333</v>
      </c>
      <c r="BN89" s="168" t="n">
        <v>24.1937524749999</v>
      </c>
      <c r="BO89" s="168" t="n">
        <v>24.1888169249999</v>
      </c>
      <c r="BP89" s="3" t="n">
        <v>24.1762588666666</v>
      </c>
      <c r="BQ89" s="168" t="n">
        <v>24.181836525</v>
      </c>
      <c r="BR89" s="168" t="n">
        <v>24.1838615416666</v>
      </c>
      <c r="BS89" s="3" t="n">
        <v>84.4536335552927</v>
      </c>
      <c r="BT89" s="168" t="n">
        <v>84.3248681852565</v>
      </c>
      <c r="BU89" s="168" t="n">
        <v>85.0781480861411</v>
      </c>
      <c r="BV89" s="168" t="n">
        <v>81.2637311450931</v>
      </c>
      <c r="BW89" s="3" t="n">
        <v>83.0243598040386</v>
      </c>
      <c r="BX89" s="3" t="n">
        <v>78.9151441069658</v>
      </c>
      <c r="BY89" s="3" t="n">
        <v>81.005423695402</v>
      </c>
      <c r="BZ89" s="169"/>
      <c r="CA89" s="169"/>
      <c r="CB89" s="169"/>
      <c r="CC89" s="169"/>
      <c r="CD89" s="169"/>
      <c r="CE89" s="169"/>
      <c r="CF89" s="169"/>
    </row>
    <row r="90" customFormat="false" ht="12.75" hidden="false" customHeight="false" outlineLevel="0" collapsed="false">
      <c r="A90" s="3" t="n">
        <v>5</v>
      </c>
      <c r="B90" s="3" t="n">
        <v>5.1</v>
      </c>
      <c r="C90" s="3" t="s">
        <v>244</v>
      </c>
      <c r="D90" s="3" t="s">
        <v>246</v>
      </c>
      <c r="E90" s="3" t="n">
        <v>72.39108175</v>
      </c>
      <c r="F90" s="3" t="n">
        <v>19.8385838055555</v>
      </c>
      <c r="G90" s="3" t="n">
        <v>0.496487239806485</v>
      </c>
      <c r="H90" s="3" t="n">
        <v>52.5524979444444</v>
      </c>
      <c r="I90" s="168" t="n">
        <v>19.342096565749</v>
      </c>
      <c r="J90" s="3" t="n">
        <v>71.8945945101935</v>
      </c>
      <c r="K90" s="3" t="n">
        <v>283.433210833333</v>
      </c>
      <c r="L90" s="3" t="n">
        <v>-29.9999999999999</v>
      </c>
      <c r="M90" s="3" t="n">
        <v>491.395506111111</v>
      </c>
      <c r="N90" s="3" t="n">
        <v>0</v>
      </c>
      <c r="O90" s="168" t="n">
        <v>283.634108888888</v>
      </c>
      <c r="P90" s="3" t="n">
        <v>-150</v>
      </c>
      <c r="Q90" s="3" t="n">
        <v>490.666799444444</v>
      </c>
      <c r="R90" s="3" t="n">
        <v>-120.08773125003</v>
      </c>
      <c r="S90" s="3" t="n">
        <v>283.012081666666</v>
      </c>
      <c r="T90" s="168" t="n">
        <v>90</v>
      </c>
      <c r="U90" s="3" t="n">
        <v>490.347654166666</v>
      </c>
      <c r="V90" s="168" t="n">
        <v>120.019569819132</v>
      </c>
      <c r="W90" s="3" t="n">
        <v>0.251036064722222</v>
      </c>
      <c r="X90" s="168" t="n">
        <v>-105.313575918044</v>
      </c>
      <c r="Y90" s="3" t="n">
        <v>0.358773246666666</v>
      </c>
      <c r="Z90" s="3" t="n">
        <v>146.375098564995</v>
      </c>
      <c r="AA90" s="3" t="n">
        <v>0.36574962</v>
      </c>
      <c r="AB90" s="3" t="n">
        <v>5.95454467308181</v>
      </c>
      <c r="AC90" s="3" t="n">
        <v>16.9348620833333</v>
      </c>
      <c r="AD90" s="168" t="n">
        <v>44.86233375</v>
      </c>
      <c r="AE90" s="3" t="n">
        <v>10.5938859166666</v>
      </c>
      <c r="AF90" s="3" t="n">
        <v>123.587100833333</v>
      </c>
      <c r="AG90" s="3" t="n">
        <v>-0.046240599763171</v>
      </c>
      <c r="AH90" s="168" t="n">
        <v>0.473090266666666</v>
      </c>
      <c r="AI90" s="168" t="n">
        <v>-70.2115196567081</v>
      </c>
      <c r="AJ90" s="168" t="n">
        <v>19.8385838055555</v>
      </c>
      <c r="AK90" s="3" t="n">
        <v>0.248371075</v>
      </c>
      <c r="AL90" s="3" t="n">
        <v>0.170693229166666</v>
      </c>
      <c r="AM90" s="3" t="n">
        <v>0.2211270625</v>
      </c>
      <c r="AN90" s="3" t="n">
        <v>0</v>
      </c>
      <c r="AO90" s="3" t="n">
        <v>0</v>
      </c>
      <c r="AP90" s="3" t="n">
        <v>0</v>
      </c>
      <c r="AQ90" s="168" t="n">
        <v>3.0672700325E-006</v>
      </c>
      <c r="AR90" s="3" t="n">
        <v>6.33290196461111E-007</v>
      </c>
      <c r="AS90" s="168" t="n">
        <v>-8.58856066666666E-006</v>
      </c>
      <c r="AT90" s="3" t="n">
        <v>24.5510726805555</v>
      </c>
      <c r="AU90" s="168" t="n">
        <v>18.8606137805555</v>
      </c>
      <c r="AV90" s="3" t="n">
        <v>24.5513202722222</v>
      </c>
      <c r="AW90" s="168" t="n">
        <v>18.7622860694444</v>
      </c>
      <c r="AX90" s="168" t="n">
        <v>24.5510056416666</v>
      </c>
      <c r="AY90" s="168" t="n">
        <v>18.8401181111111</v>
      </c>
      <c r="AZ90" s="168" t="n">
        <v>0.0605173962218414</v>
      </c>
      <c r="BA90" s="3" t="n">
        <v>0.00663351875954905</v>
      </c>
      <c r="BB90" s="3" t="n">
        <v>0.0492634580093549</v>
      </c>
      <c r="BC90" s="3" t="n">
        <v>0.00714690558981382</v>
      </c>
      <c r="BD90" s="3" t="n">
        <v>0.0601766902233079</v>
      </c>
      <c r="BE90" s="3" t="n">
        <v>0.0125947510156155</v>
      </c>
      <c r="BF90" s="3" t="n">
        <v>1.48576722682782</v>
      </c>
      <c r="BG90" s="3" t="n">
        <v>0.125113069637807</v>
      </c>
      <c r="BH90" s="3" t="n">
        <v>1.20948294949001</v>
      </c>
      <c r="BI90" s="168" t="n">
        <v>0.134092618419161</v>
      </c>
      <c r="BJ90" s="168" t="n">
        <v>1.47739848541951</v>
      </c>
      <c r="BK90" s="168" t="n">
        <v>0.237286439749953</v>
      </c>
      <c r="BL90" s="168" t="n">
        <v>1.90415277777777E-006</v>
      </c>
      <c r="BM90" s="3" t="n">
        <v>1.414425E-006</v>
      </c>
      <c r="BN90" s="168" t="n">
        <v>7.94522222222222E-007</v>
      </c>
      <c r="BO90" s="168" t="n">
        <v>5.86655555555555E-007</v>
      </c>
      <c r="BP90" s="168" t="n">
        <v>2.16466111111111E-006</v>
      </c>
      <c r="BQ90" s="168" t="n">
        <v>5.45422222222222E-007</v>
      </c>
      <c r="BR90" s="168" t="n">
        <v>3.39758333333333E-007</v>
      </c>
      <c r="BS90" s="168" t="n">
        <v>4.23962020679012E-031</v>
      </c>
      <c r="BT90" s="168" t="n">
        <v>2.41903031172839E-031</v>
      </c>
      <c r="BU90" s="168" t="n">
        <v>9.04418191358024E-032</v>
      </c>
      <c r="BV90" s="168" t="n">
        <v>5.83417598765432E-032</v>
      </c>
      <c r="BW90" s="3" t="n">
        <v>5.43615272839506E-031</v>
      </c>
      <c r="BX90" s="3" t="n">
        <v>5.4093574074074E-032</v>
      </c>
      <c r="BY90" s="3" t="n">
        <v>3.6472674382716E-032</v>
      </c>
      <c r="BZ90" s="169"/>
      <c r="CA90" s="169"/>
      <c r="CB90" s="169"/>
      <c r="CC90" s="169"/>
      <c r="CD90" s="169"/>
      <c r="CE90" s="169"/>
      <c r="CF90" s="169"/>
    </row>
    <row r="91" customFormat="false" ht="12.75" hidden="false" customHeight="false" outlineLevel="0" collapsed="false">
      <c r="A91" s="3" t="n">
        <v>5</v>
      </c>
      <c r="B91" s="3" t="n">
        <v>5.2</v>
      </c>
      <c r="C91" s="3" t="s">
        <v>244</v>
      </c>
      <c r="D91" s="3" t="s">
        <v>246</v>
      </c>
      <c r="E91" s="3" t="n">
        <v>294.184041333333</v>
      </c>
      <c r="F91" s="3" t="n">
        <v>239.701686111111</v>
      </c>
      <c r="G91" s="3" t="n">
        <v>197.971835999663</v>
      </c>
      <c r="H91" s="3" t="n">
        <v>54.4823552222222</v>
      </c>
      <c r="I91" s="3" t="n">
        <v>41.7298501114476</v>
      </c>
      <c r="J91" s="3" t="n">
        <v>96.2122053336698</v>
      </c>
      <c r="K91" s="3" t="n">
        <v>282.948130277777</v>
      </c>
      <c r="L91" s="3" t="n">
        <v>-29.9999999999999</v>
      </c>
      <c r="M91" s="3" t="n">
        <v>491.304596944444</v>
      </c>
      <c r="N91" s="3" t="n">
        <v>0</v>
      </c>
      <c r="O91" s="3" t="n">
        <v>283.892995</v>
      </c>
      <c r="P91" s="3" t="n">
        <v>-150</v>
      </c>
      <c r="Q91" s="3" t="n">
        <v>490.907233611111</v>
      </c>
      <c r="R91" s="3" t="n">
        <v>-120.259054572635</v>
      </c>
      <c r="S91" s="3" t="n">
        <v>282.718148611111</v>
      </c>
      <c r="T91" s="3" t="n">
        <v>90</v>
      </c>
      <c r="U91" s="3" t="n">
        <v>489.311875</v>
      </c>
      <c r="V91" s="3" t="n">
        <v>119.901867904078</v>
      </c>
      <c r="W91" s="3" t="n">
        <v>0.432256637222222</v>
      </c>
      <c r="X91" s="3" t="n">
        <v>-26.9393169916632</v>
      </c>
      <c r="Y91" s="3" t="n">
        <v>0.763752539166666</v>
      </c>
      <c r="Z91" s="3" t="n">
        <v>169.646392927194</v>
      </c>
      <c r="AA91" s="3" t="n">
        <v>0.365332545</v>
      </c>
      <c r="AB91" s="3" t="n">
        <v>5.77822049097992</v>
      </c>
      <c r="AC91" s="3" t="n">
        <v>118.658501388888</v>
      </c>
      <c r="AD91" s="3" t="n">
        <v>164.940881111111</v>
      </c>
      <c r="AE91" s="3" t="n">
        <v>10.5846588333333</v>
      </c>
      <c r="AF91" s="3" t="n">
        <v>122.724861111111</v>
      </c>
      <c r="AG91" s="3" t="n">
        <v>-0.227137154778702</v>
      </c>
      <c r="AH91" s="3" t="n">
        <v>2.08556024444444</v>
      </c>
      <c r="AI91" s="3" t="n">
        <v>-20.7521552701473</v>
      </c>
      <c r="AJ91" s="3" t="n">
        <v>239.701686111111</v>
      </c>
      <c r="AK91" s="3" t="n">
        <v>24.3994676388888</v>
      </c>
      <c r="AL91" s="3" t="n">
        <v>24.2847955555555</v>
      </c>
      <c r="AM91" s="3" t="n">
        <v>24.3200169166666</v>
      </c>
      <c r="AN91" s="3" t="n">
        <v>1.28094216944444</v>
      </c>
      <c r="AO91" s="3" t="n">
        <v>1.30361545555555</v>
      </c>
      <c r="AP91" s="3" t="n">
        <v>1.26103533611111</v>
      </c>
      <c r="AQ91" s="3" t="n">
        <v>31.2541784444444</v>
      </c>
      <c r="AR91" s="3" t="n">
        <v>31.6578885555555</v>
      </c>
      <c r="AS91" s="3" t="n">
        <v>30.6682995833333</v>
      </c>
      <c r="AT91" s="3" t="n">
        <v>24.4625576138888</v>
      </c>
      <c r="AU91" s="3" t="n">
        <v>18.5712526222222</v>
      </c>
      <c r="AV91" s="3" t="n">
        <v>24.4604617333333</v>
      </c>
      <c r="AW91" s="3" t="n">
        <v>18.6576350111111</v>
      </c>
      <c r="AX91" s="3" t="n">
        <v>24.4544331944444</v>
      </c>
      <c r="AY91" s="3" t="n">
        <v>18.7633050138888</v>
      </c>
      <c r="AZ91" s="3" t="n">
        <v>0.345924993502543</v>
      </c>
      <c r="BA91" s="3" t="n">
        <v>0.310472210987366</v>
      </c>
      <c r="BB91" s="3" t="n">
        <v>0.34672548899838</v>
      </c>
      <c r="BC91" s="3" t="n">
        <v>0.326322110129539</v>
      </c>
      <c r="BD91" s="3" t="n">
        <v>0.331475876534225</v>
      </c>
      <c r="BE91" s="3" t="n">
        <v>0.364277603500534</v>
      </c>
      <c r="BF91" s="3" t="n">
        <v>8.46221008060984</v>
      </c>
      <c r="BG91" s="3" t="n">
        <v>5.76585869465231</v>
      </c>
      <c r="BH91" s="3" t="n">
        <v>8.48106558396906</v>
      </c>
      <c r="BI91" s="3" t="n">
        <v>6.08840058236651</v>
      </c>
      <c r="BJ91" s="3" t="n">
        <v>8.10605431323429</v>
      </c>
      <c r="BK91" s="3" t="n">
        <v>6.83505189891562</v>
      </c>
      <c r="BL91" s="3" t="n">
        <v>24.3351990611111</v>
      </c>
      <c r="BM91" s="3" t="n">
        <v>0.000109246563888888</v>
      </c>
      <c r="BN91" s="3" t="n">
        <v>3.13106027777777E-005</v>
      </c>
      <c r="BO91" s="3" t="n">
        <v>1.56336916666666E-005</v>
      </c>
      <c r="BP91" s="3" t="n">
        <v>0.0191432939861111</v>
      </c>
      <c r="BQ91" s="3" t="n">
        <v>-2.60114361111111E-005</v>
      </c>
      <c r="BR91" s="3" t="n">
        <v>-0.000114414391666666</v>
      </c>
      <c r="BS91" s="3" t="n">
        <v>85.7021582403956</v>
      </c>
      <c r="BT91" s="3" t="n">
        <v>1.33536412860895E-027</v>
      </c>
      <c r="BU91" s="3" t="n">
        <v>1.13427497916975E-028</v>
      </c>
      <c r="BV91" s="3" t="n">
        <v>2.92780888935185E-029</v>
      </c>
      <c r="BW91" s="3" t="n">
        <v>6.37791679875961E-022</v>
      </c>
      <c r="BX91" s="3" t="n">
        <v>7.60219577317901E-029</v>
      </c>
      <c r="BY91" s="3" t="n">
        <v>1.45517987263672E-027</v>
      </c>
      <c r="BZ91" s="169"/>
      <c r="CA91" s="169"/>
      <c r="CB91" s="169"/>
      <c r="CC91" s="169"/>
      <c r="CD91" s="169"/>
      <c r="CE91" s="169"/>
      <c r="CF91" s="169"/>
    </row>
    <row r="92" customFormat="false" ht="12.75" hidden="false" customHeight="false" outlineLevel="0" collapsed="false">
      <c r="A92" s="3" t="n">
        <v>5</v>
      </c>
      <c r="B92" s="3" t="n">
        <v>5.3</v>
      </c>
      <c r="C92" s="3" t="s">
        <v>244</v>
      </c>
      <c r="D92" s="3" t="s">
        <v>246</v>
      </c>
      <c r="E92" s="3" t="n">
        <v>693.033576611111</v>
      </c>
      <c r="F92" s="3" t="n">
        <v>627.525542777777</v>
      </c>
      <c r="G92" s="3" t="n">
        <v>552.131432869445</v>
      </c>
      <c r="H92" s="3" t="n">
        <v>65.5080338333333</v>
      </c>
      <c r="I92" s="3" t="n">
        <v>75.3941099083323</v>
      </c>
      <c r="J92" s="3" t="n">
        <v>140.902143741665</v>
      </c>
      <c r="K92" s="3" t="n">
        <v>280.646297777777</v>
      </c>
      <c r="L92" s="3" t="n">
        <v>-29.9999999999999</v>
      </c>
      <c r="M92" s="3" t="n">
        <v>486.269245833333</v>
      </c>
      <c r="N92" s="3" t="n">
        <v>0</v>
      </c>
      <c r="O92" s="3" t="n">
        <v>280.777743333333</v>
      </c>
      <c r="P92" s="3" t="n">
        <v>-150</v>
      </c>
      <c r="Q92" s="3" t="n">
        <v>486.197823055555</v>
      </c>
      <c r="R92" s="3" t="n">
        <v>-120.021459184251</v>
      </c>
      <c r="S92" s="3" t="n">
        <v>280.605053611111</v>
      </c>
      <c r="T92" s="3" t="n">
        <v>90</v>
      </c>
      <c r="U92" s="3" t="n">
        <v>486.001980277777</v>
      </c>
      <c r="V92" s="3" t="n">
        <v>119.994946522828</v>
      </c>
      <c r="W92" s="3" t="n">
        <v>1.22669254444444</v>
      </c>
      <c r="X92" s="3" t="n">
        <v>-8.12858022293464</v>
      </c>
      <c r="Y92" s="3" t="n">
        <v>1.57549736666666</v>
      </c>
      <c r="Z92" s="3" t="n">
        <v>178.875720938107</v>
      </c>
      <c r="AA92" s="3" t="n">
        <v>0.357574750277777</v>
      </c>
      <c r="AB92" s="3" t="n">
        <v>6.31682859328883</v>
      </c>
      <c r="AC92" s="3" t="n">
        <v>304.510006388888</v>
      </c>
      <c r="AD92" s="3" t="n">
        <v>377.630030277777</v>
      </c>
      <c r="AE92" s="3" t="n">
        <v>10.8935399444444</v>
      </c>
      <c r="AF92" s="3" t="n">
        <v>119.8961875</v>
      </c>
      <c r="AG92" s="3" t="n">
        <v>-0.561245786892186</v>
      </c>
      <c r="AH92" s="3" t="n">
        <v>5.37791801111111</v>
      </c>
      <c r="AI92" s="3" t="n">
        <v>-13.8504638145375</v>
      </c>
      <c r="AJ92" s="3" t="n">
        <v>627.525542777777</v>
      </c>
      <c r="AK92" s="3" t="n">
        <v>24.16802525</v>
      </c>
      <c r="AL92" s="3" t="n">
        <v>24.3144351666666</v>
      </c>
      <c r="AM92" s="3" t="n">
        <v>24.3117984444444</v>
      </c>
      <c r="AN92" s="3" t="n">
        <v>1.246268575</v>
      </c>
      <c r="AO92" s="3" t="n">
        <v>1.23252045</v>
      </c>
      <c r="AP92" s="3" t="n">
        <v>1.25918504722222</v>
      </c>
      <c r="AQ92" s="3" t="n">
        <v>30.1195583611111</v>
      </c>
      <c r="AR92" s="3" t="n">
        <v>29.9678921666666</v>
      </c>
      <c r="AS92" s="3" t="n">
        <v>30.6129317222222</v>
      </c>
      <c r="AT92" s="3" t="n">
        <v>24.3034908555555</v>
      </c>
      <c r="AU92" s="3" t="n">
        <v>18.3521610777777</v>
      </c>
      <c r="AV92" s="3" t="n">
        <v>24.3223373972222</v>
      </c>
      <c r="AW92" s="3" t="n">
        <v>18.1838462527777</v>
      </c>
      <c r="AX92" s="3" t="n">
        <v>24.2767136638888</v>
      </c>
      <c r="AY92" s="3" t="n">
        <v>18.4763104972222</v>
      </c>
      <c r="AZ92" s="3" t="n">
        <v>1.94395682229549</v>
      </c>
      <c r="BA92" s="3" t="n">
        <v>2.28714266721644</v>
      </c>
      <c r="BB92" s="3" t="n">
        <v>1.82195251838314</v>
      </c>
      <c r="BC92" s="3" t="n">
        <v>2.22587030830692</v>
      </c>
      <c r="BD92" s="3" t="n">
        <v>1.80290970533371</v>
      </c>
      <c r="BE92" s="3" t="n">
        <v>2.24422393536578</v>
      </c>
      <c r="BF92" s="3" t="n">
        <v>47.2449366605665</v>
      </c>
      <c r="BG92" s="3" t="n">
        <v>41.9740105357223</v>
      </c>
      <c r="BH92" s="3" t="n">
        <v>44.3141438933996</v>
      </c>
      <c r="BI92" s="3" t="n">
        <v>40.4748913431874</v>
      </c>
      <c r="BJ92" s="3" t="n">
        <v>43.7687214440652</v>
      </c>
      <c r="BK92" s="3" t="n">
        <v>41.4649882127043</v>
      </c>
      <c r="BL92" s="3" t="n">
        <v>24.2433661027777</v>
      </c>
      <c r="BM92" s="168" t="n">
        <v>24.2591032583333</v>
      </c>
      <c r="BN92" s="168" t="n">
        <v>24.2780879583333</v>
      </c>
      <c r="BO92" s="168" t="n">
        <v>24.2784438277777</v>
      </c>
      <c r="BP92" s="3" t="n">
        <v>-0.000191944111111111</v>
      </c>
      <c r="BQ92" s="3" t="n">
        <v>-0.000236289025</v>
      </c>
      <c r="BR92" s="3" t="n">
        <v>-0.000248526263888888</v>
      </c>
      <c r="BS92" s="3" t="n">
        <v>85.056555835988</v>
      </c>
      <c r="BT92" s="168" t="n">
        <v>84.9212252486532</v>
      </c>
      <c r="BU92" s="168" t="n">
        <v>85.6723190378528</v>
      </c>
      <c r="BV92" s="168" t="n">
        <v>81.8670604053372</v>
      </c>
      <c r="BW92" s="3" t="n">
        <v>4.34372613858642E-027</v>
      </c>
      <c r="BX92" s="3" t="n">
        <v>6.28158853178487E-027</v>
      </c>
      <c r="BY92" s="3" t="n">
        <v>6.87829454469166E-027</v>
      </c>
      <c r="BZ92" s="169"/>
      <c r="CA92" s="169"/>
      <c r="CB92" s="169"/>
      <c r="CC92" s="169"/>
      <c r="CD92" s="169"/>
      <c r="CE92" s="169"/>
      <c r="CF92" s="169"/>
    </row>
    <row r="93" customFormat="false" ht="12.75" hidden="false" customHeight="false" outlineLevel="0" collapsed="false">
      <c r="A93" s="3" t="n">
        <v>5</v>
      </c>
      <c r="B93" s="3" t="n">
        <v>5.4</v>
      </c>
      <c r="C93" s="3" t="s">
        <v>244</v>
      </c>
      <c r="D93" s="3" t="s">
        <v>246</v>
      </c>
      <c r="E93" s="3" t="n">
        <v>1081.14218627777</v>
      </c>
      <c r="F93" s="3" t="n">
        <v>992.875805555555</v>
      </c>
      <c r="G93" s="3" t="n">
        <v>884.101216276998</v>
      </c>
      <c r="H93" s="3" t="n">
        <v>88.2663807222222</v>
      </c>
      <c r="I93" s="168" t="n">
        <v>108.774589278557</v>
      </c>
      <c r="J93" s="3" t="n">
        <v>197.040970000779</v>
      </c>
      <c r="K93" s="3" t="n">
        <v>280.573053055555</v>
      </c>
      <c r="L93" s="3" t="n">
        <v>-29.9999999999999</v>
      </c>
      <c r="M93" s="3" t="n">
        <v>486.235253888888</v>
      </c>
      <c r="N93" s="3" t="n">
        <v>0</v>
      </c>
      <c r="O93" s="168" t="n">
        <v>280.784703888888</v>
      </c>
      <c r="P93" s="3" t="n">
        <v>-150</v>
      </c>
      <c r="Q93" s="3" t="n">
        <v>486.163122222222</v>
      </c>
      <c r="R93" s="3" t="n">
        <v>-120.041685183341</v>
      </c>
      <c r="S93" s="3" t="n">
        <v>280.531387777777</v>
      </c>
      <c r="T93" s="168" t="n">
        <v>90</v>
      </c>
      <c r="U93" s="3" t="n">
        <v>485.8288025</v>
      </c>
      <c r="V93" s="168" t="n">
        <v>119.985701298286</v>
      </c>
      <c r="W93" s="3" t="n">
        <v>2.02275668055555</v>
      </c>
      <c r="X93" s="168" t="n">
        <v>-5.72102700316476</v>
      </c>
      <c r="Y93" s="3" t="n">
        <v>2.37416233611111</v>
      </c>
      <c r="Z93" s="3" t="n">
        <v>179.863060879483</v>
      </c>
      <c r="AA93" s="3" t="n">
        <v>0.357685197777777</v>
      </c>
      <c r="AB93" s="3" t="n">
        <v>6.28016657726991</v>
      </c>
      <c r="AC93" s="3" t="n">
        <v>494.822829722222</v>
      </c>
      <c r="AD93" s="168" t="n">
        <v>575.450669722222</v>
      </c>
      <c r="AE93" s="3" t="n">
        <v>10.8686868333333</v>
      </c>
      <c r="AF93" s="3" t="n">
        <v>118.1878325</v>
      </c>
      <c r="AG93" s="3" t="n">
        <v>-0.833882332226896</v>
      </c>
      <c r="AH93" s="3" t="n">
        <v>8.52885846944444</v>
      </c>
      <c r="AI93" s="168" t="n">
        <v>-10.7740849899232</v>
      </c>
      <c r="AJ93" s="168" t="n">
        <v>992.875805555555</v>
      </c>
      <c r="AK93" s="3" t="n">
        <v>24.0125841666666</v>
      </c>
      <c r="AL93" s="3" t="n">
        <v>24.22396075</v>
      </c>
      <c r="AM93" s="3" t="n">
        <v>24.2228878055555</v>
      </c>
      <c r="AN93" s="3" t="n">
        <v>1.23009206388888</v>
      </c>
      <c r="AO93" s="3" t="n">
        <v>1.23708301111111</v>
      </c>
      <c r="AP93" s="3" t="n">
        <v>1.23829024722222</v>
      </c>
      <c r="AQ93" s="168" t="n">
        <v>29.5374696111111</v>
      </c>
      <c r="AR93" s="168" t="n">
        <v>29.9669263888888</v>
      </c>
      <c r="AS93" s="168" t="n">
        <v>29.9948602222222</v>
      </c>
      <c r="AT93" s="3" t="n">
        <v>24.1592559083333</v>
      </c>
      <c r="AU93" s="3" t="n">
        <v>18.1167578055555</v>
      </c>
      <c r="AV93" s="168" t="n">
        <v>24.1784227333333</v>
      </c>
      <c r="AW93" s="168" t="n">
        <v>17.929715725</v>
      </c>
      <c r="AX93" s="168" t="n">
        <v>24.1289493555555</v>
      </c>
      <c r="AY93" s="168" t="n">
        <v>18.1799588027777</v>
      </c>
      <c r="AZ93" s="168" t="n">
        <v>3.45907742402356</v>
      </c>
      <c r="BA93" s="3" t="n">
        <v>4.0761986797875</v>
      </c>
      <c r="BB93" s="3" t="n">
        <v>3.22634564021881</v>
      </c>
      <c r="BC93" s="3" t="n">
        <v>3.96099048202948</v>
      </c>
      <c r="BD93" s="3" t="n">
        <v>3.1821020172536</v>
      </c>
      <c r="BE93" s="3" t="n">
        <v>3.93998245883119</v>
      </c>
      <c r="BF93" s="3" t="n">
        <v>83.5687347851455</v>
      </c>
      <c r="BG93" s="3" t="n">
        <v>73.8475094031976</v>
      </c>
      <c r="BH93" s="3" t="n">
        <v>78.0079496544542</v>
      </c>
      <c r="BI93" s="168" t="n">
        <v>71.0194337190946</v>
      </c>
      <c r="BJ93" s="168" t="n">
        <v>76.7807722208643</v>
      </c>
      <c r="BK93" s="168" t="n">
        <v>71.6287077585153</v>
      </c>
      <c r="BL93" s="168" t="n">
        <v>24.1573288166666</v>
      </c>
      <c r="BM93" s="168" t="n">
        <v>24.1741426472222</v>
      </c>
      <c r="BN93" s="168" t="n">
        <v>24.1949914305555</v>
      </c>
      <c r="BO93" s="168" t="n">
        <v>24.1903160027777</v>
      </c>
      <c r="BP93" s="3" t="n">
        <v>24.1766374166666</v>
      </c>
      <c r="BQ93" s="168" t="n">
        <v>24.1820367555555</v>
      </c>
      <c r="BR93" s="168" t="n">
        <v>24.1861683027777</v>
      </c>
      <c r="BS93" s="168" t="n">
        <v>84.453912645321</v>
      </c>
      <c r="BT93" s="168" t="n">
        <v>84.3274419626901</v>
      </c>
      <c r="BU93" s="168" t="n">
        <v>85.0868619792069</v>
      </c>
      <c r="BV93" s="168" t="n">
        <v>81.2738039764132</v>
      </c>
      <c r="BW93" s="3" t="n">
        <v>83.0269598124235</v>
      </c>
      <c r="BX93" s="3" t="n">
        <v>78.9164509765364</v>
      </c>
      <c r="BY93" s="3" t="n">
        <v>81.0208778213772</v>
      </c>
      <c r="BZ93" s="169"/>
      <c r="CA93" s="169"/>
      <c r="CB93" s="169"/>
      <c r="CC93" s="169"/>
      <c r="CD93" s="169"/>
      <c r="CE93" s="169"/>
      <c r="CF93" s="169"/>
    </row>
    <row r="94" customFormat="false" ht="12.75" hidden="false" customHeight="false" outlineLevel="0" collapsed="false">
      <c r="A94" s="3" t="n">
        <v>6</v>
      </c>
      <c r="B94" s="3" t="n">
        <v>6.1</v>
      </c>
      <c r="C94" s="3" t="s">
        <v>244</v>
      </c>
      <c r="D94" s="3" t="s">
        <v>246</v>
      </c>
      <c r="E94" s="3" t="n">
        <v>71.9068289166666</v>
      </c>
      <c r="F94" s="3" t="n">
        <v>19.40542025</v>
      </c>
      <c r="G94" s="3" t="n">
        <v>0.55981608214921</v>
      </c>
      <c r="H94" s="3" t="n">
        <v>52.5014086666666</v>
      </c>
      <c r="I94" s="168" t="n">
        <v>18.8456041678507</v>
      </c>
      <c r="J94" s="3" t="n">
        <v>71.3470128345174</v>
      </c>
      <c r="K94" s="3" t="n">
        <v>283.003273333333</v>
      </c>
      <c r="L94" s="3" t="n">
        <v>-29.9999999999999</v>
      </c>
      <c r="M94" s="3" t="n">
        <v>490.784770555555</v>
      </c>
      <c r="N94" s="3" t="n">
        <v>0</v>
      </c>
      <c r="O94" s="168" t="n">
        <v>283.406908888888</v>
      </c>
      <c r="P94" s="3" t="n">
        <v>-150</v>
      </c>
      <c r="Q94" s="3" t="n">
        <v>490.357054166666</v>
      </c>
      <c r="R94" s="3" t="n">
        <v>-120.127072230253</v>
      </c>
      <c r="S94" s="3" t="n">
        <v>282.756028333333</v>
      </c>
      <c r="T94" s="168" t="n">
        <v>90</v>
      </c>
      <c r="U94" s="3" t="n">
        <v>489.6891275</v>
      </c>
      <c r="V94" s="3" t="n">
        <v>119.977916297612</v>
      </c>
      <c r="W94" s="3" t="n">
        <v>0.374852843888888</v>
      </c>
      <c r="X94" s="3" t="n">
        <v>-81.3720383970071</v>
      </c>
      <c r="Y94" s="3" t="n">
        <v>0.301765855833333</v>
      </c>
      <c r="Z94" s="3" t="n">
        <v>108.94241754938</v>
      </c>
      <c r="AA94" s="3" t="n">
        <v>0.129622921944444</v>
      </c>
      <c r="AB94" s="3" t="n">
        <v>54.7529960891845</v>
      </c>
      <c r="AC94" s="3" t="n">
        <v>65.5281998611111</v>
      </c>
      <c r="AD94" s="3" t="n">
        <v>-17.2329472777777</v>
      </c>
      <c r="AE94" s="3" t="n">
        <v>23.6115763333333</v>
      </c>
      <c r="AF94" s="3" t="n">
        <v>213.512314166666</v>
      </c>
      <c r="AG94" s="3" t="n">
        <v>89.7949846021216</v>
      </c>
      <c r="AH94" s="3" t="n">
        <v>0.674458276666666</v>
      </c>
      <c r="AI94" s="168" t="n">
        <v>7.53944649171998</v>
      </c>
      <c r="AJ94" s="168" t="n">
        <v>19.40542025</v>
      </c>
      <c r="AK94" s="3" t="n">
        <v>0.178820136944444</v>
      </c>
      <c r="AL94" s="3" t="n">
        <v>0.151918235277777</v>
      </c>
      <c r="AM94" s="3" t="n">
        <v>0.3322122975</v>
      </c>
      <c r="AN94" s="3" t="n">
        <v>0</v>
      </c>
      <c r="AO94" s="3" t="n">
        <v>0</v>
      </c>
      <c r="AP94" s="3" t="n">
        <v>0</v>
      </c>
      <c r="AQ94" s="3" t="n">
        <v>-5.50286074722222E-006</v>
      </c>
      <c r="AR94" s="168" t="n">
        <v>-5.45612783055555E-006</v>
      </c>
      <c r="AS94" s="3" t="n">
        <v>0.000137599987777777</v>
      </c>
      <c r="AT94" s="3" t="n">
        <v>24.5678426055555</v>
      </c>
      <c r="AU94" s="3" t="n">
        <v>18.8712588333333</v>
      </c>
      <c r="AV94" s="168" t="n">
        <v>24.5680130361111</v>
      </c>
      <c r="AW94" s="168" t="n">
        <v>18.7706191083333</v>
      </c>
      <c r="AX94" s="168" t="n">
        <v>24.5677872305555</v>
      </c>
      <c r="AY94" s="168" t="n">
        <v>18.8233124638888</v>
      </c>
      <c r="AZ94" s="168" t="n">
        <v>0.0321671583740142</v>
      </c>
      <c r="BA94" s="168" t="n">
        <v>0.00579102771748238</v>
      </c>
      <c r="BB94" s="168" t="n">
        <v>0.0304936368029677</v>
      </c>
      <c r="BC94" s="3" t="n">
        <v>0.00778775522617437</v>
      </c>
      <c r="BD94" s="3" t="n">
        <v>0.0449651402507635</v>
      </c>
      <c r="BE94" s="3" t="n">
        <v>0.016166018036519</v>
      </c>
      <c r="BF94" s="3" t="n">
        <v>0.790159181877236</v>
      </c>
      <c r="BG94" s="3" t="n">
        <v>0.109269465688724</v>
      </c>
      <c r="BH94" s="3" t="n">
        <v>0.749245504118489</v>
      </c>
      <c r="BI94" s="3" t="n">
        <v>0.146210540055371</v>
      </c>
      <c r="BJ94" s="168" t="n">
        <v>1.10480174063582</v>
      </c>
      <c r="BK94" s="168" t="n">
        <v>0.304209435405914</v>
      </c>
      <c r="BL94" s="168" t="n">
        <v>1.52756111111111E-006</v>
      </c>
      <c r="BM94" s="168" t="n">
        <v>1.18306944444444E-006</v>
      </c>
      <c r="BN94" s="168" t="n">
        <v>7.64494444444444E-007</v>
      </c>
      <c r="BO94" s="168" t="n">
        <v>5.23738888888888E-007</v>
      </c>
      <c r="BP94" s="3" t="n">
        <v>2.49688055555555E-006</v>
      </c>
      <c r="BQ94" s="168" t="n">
        <v>5.97852777777777E-007</v>
      </c>
      <c r="BR94" s="168" t="n">
        <v>3.44036111111111E-007</v>
      </c>
      <c r="BS94" s="168" t="n">
        <v>2.81245138271604E-031</v>
      </c>
      <c r="BT94" s="168" t="n">
        <v>1.76831210802469E-031</v>
      </c>
      <c r="BU94" s="168" t="n">
        <v>8.6251174074074E-032</v>
      </c>
      <c r="BV94" s="168" t="n">
        <v>6.25370839506172E-032</v>
      </c>
      <c r="BW94" s="3" t="n">
        <v>7.18886112037037E-031</v>
      </c>
      <c r="BX94" s="3" t="n">
        <v>6.13966175925925E-032</v>
      </c>
      <c r="BY94" s="3" t="n">
        <v>3.54136848765432E-032</v>
      </c>
      <c r="BZ94" s="169"/>
      <c r="CA94" s="169"/>
      <c r="CB94" s="169"/>
      <c r="CC94" s="169"/>
      <c r="CD94" s="169"/>
      <c r="CE94" s="169"/>
      <c r="CF94" s="169"/>
    </row>
    <row r="95" customFormat="false" ht="12.75" hidden="false" customHeight="false" outlineLevel="0" collapsed="false">
      <c r="A95" s="3" t="n">
        <v>6</v>
      </c>
      <c r="B95" s="3" t="n">
        <v>6.2</v>
      </c>
      <c r="C95" s="3" t="s">
        <v>244</v>
      </c>
      <c r="D95" s="3" t="s">
        <v>246</v>
      </c>
      <c r="E95" s="3" t="n">
        <v>290.482114988888</v>
      </c>
      <c r="F95" s="3" t="n">
        <v>236.600651111111</v>
      </c>
      <c r="G95" s="3" t="n">
        <v>196.060758707594</v>
      </c>
      <c r="H95" s="3" t="n">
        <v>53.8814638777777</v>
      </c>
      <c r="I95" s="3" t="n">
        <v>40.5398924035171</v>
      </c>
      <c r="J95" s="3" t="n">
        <v>94.4213562812948</v>
      </c>
      <c r="K95" s="3" t="n">
        <v>282.851725555555</v>
      </c>
      <c r="L95" s="3" t="n">
        <v>-29.9999999999999</v>
      </c>
      <c r="M95" s="3" t="n">
        <v>490.523215</v>
      </c>
      <c r="N95" s="3" t="n">
        <v>0</v>
      </c>
      <c r="O95" s="3" t="n">
        <v>283.209650833333</v>
      </c>
      <c r="P95" s="3" t="n">
        <v>-150</v>
      </c>
      <c r="Q95" s="3" t="n">
        <v>489.934159166666</v>
      </c>
      <c r="R95" s="3" t="n">
        <v>-120.114668444699</v>
      </c>
      <c r="S95" s="3" t="n">
        <v>282.511213611111</v>
      </c>
      <c r="T95" s="3" t="n">
        <v>90</v>
      </c>
      <c r="U95" s="3" t="n">
        <v>489.345924166666</v>
      </c>
      <c r="V95" s="3" t="n">
        <v>119.999566584136</v>
      </c>
      <c r="W95" s="3" t="n">
        <v>0.641332841944444</v>
      </c>
      <c r="X95" s="3" t="n">
        <v>-79.1896801452295</v>
      </c>
      <c r="Y95" s="3" t="n">
        <v>0.0802160965833333</v>
      </c>
      <c r="Z95" s="3" t="n">
        <v>144.687822579327</v>
      </c>
      <c r="AA95" s="3" t="n">
        <v>0.622491821944444</v>
      </c>
      <c r="AB95" s="3" t="n">
        <v>95.3371632214278</v>
      </c>
      <c r="AC95" s="3" t="n">
        <v>117.723817222222</v>
      </c>
      <c r="AD95" s="3" t="n">
        <v>3.36130498888888</v>
      </c>
      <c r="AE95" s="3" t="n">
        <v>169.396992777777</v>
      </c>
      <c r="AF95" s="3" t="n">
        <v>212.3644625</v>
      </c>
      <c r="AG95" s="3" t="n">
        <v>89.6654764807443</v>
      </c>
      <c r="AH95" s="3" t="n">
        <v>1.46204149722222</v>
      </c>
      <c r="AI95" s="3" t="n">
        <v>49.3101392843599</v>
      </c>
      <c r="AJ95" s="3" t="n">
        <v>236.600651111111</v>
      </c>
      <c r="AK95" s="3" t="n">
        <v>24.2616832222222</v>
      </c>
      <c r="AL95" s="3" t="n">
        <v>24.3952651111111</v>
      </c>
      <c r="AM95" s="3" t="n">
        <v>24.3973414166666</v>
      </c>
      <c r="AN95" s="3" t="n">
        <v>1.25675654722222</v>
      </c>
      <c r="AO95" s="3" t="n">
        <v>1.2429966</v>
      </c>
      <c r="AP95" s="3" t="n">
        <v>1.25361110833333</v>
      </c>
      <c r="AQ95" s="3" t="n">
        <v>30.4908779722222</v>
      </c>
      <c r="AR95" s="3" t="n">
        <v>30.3230955277777</v>
      </c>
      <c r="AS95" s="3" t="n">
        <v>30.5846427222222</v>
      </c>
      <c r="AT95" s="3" t="n">
        <v>24.4651081611111</v>
      </c>
      <c r="AU95" s="3" t="n">
        <v>18.7244203805555</v>
      </c>
      <c r="AV95" s="3" t="n">
        <v>24.4647946722222</v>
      </c>
      <c r="AW95" s="3" t="n">
        <v>18.5076251166666</v>
      </c>
      <c r="AX95" s="3" t="n">
        <v>24.4579919194444</v>
      </c>
      <c r="AY95" s="3" t="n">
        <v>18.7511162194444</v>
      </c>
      <c r="AZ95" s="3" t="n">
        <v>0.353312079383439</v>
      </c>
      <c r="BA95" s="3" t="n">
        <v>0.316633282755641</v>
      </c>
      <c r="BB95" s="3" t="n">
        <v>0.353178542760363</v>
      </c>
      <c r="BC95" s="3" t="n">
        <v>0.325752128087229</v>
      </c>
      <c r="BD95" s="3" t="n">
        <v>0.352069261535266</v>
      </c>
      <c r="BE95" s="3" t="n">
        <v>0.377359178515617</v>
      </c>
      <c r="BF95" s="3" t="n">
        <v>8.64381778257505</v>
      </c>
      <c r="BG95" s="3" t="n">
        <v>5.92877445356687</v>
      </c>
      <c r="BH95" s="3" t="n">
        <v>8.64044056472043</v>
      </c>
      <c r="BI95" s="3" t="n">
        <v>6.02889771445193</v>
      </c>
      <c r="BJ95" s="3" t="n">
        <v>8.61090678347159</v>
      </c>
      <c r="BK95" s="3" t="n">
        <v>7.0759060351436</v>
      </c>
      <c r="BL95" s="3" t="n">
        <v>24.3247482194444</v>
      </c>
      <c r="BM95" s="3" t="n">
        <v>8.80235388888888E-005</v>
      </c>
      <c r="BN95" s="3" t="n">
        <v>2.07075333333333E-005</v>
      </c>
      <c r="BO95" s="3" t="n">
        <v>8.67566944444444E-006</v>
      </c>
      <c r="BP95" s="3" t="n">
        <v>-1.16699777777777E-005</v>
      </c>
      <c r="BQ95" s="3" t="n">
        <v>-9.76363055555555E-006</v>
      </c>
      <c r="BR95" s="3" t="n">
        <v>-0.000111024886111111</v>
      </c>
      <c r="BS95" s="3" t="n">
        <v>85.6285642822093</v>
      </c>
      <c r="BT95" s="3" t="n">
        <v>8.98019386595679E-028</v>
      </c>
      <c r="BU95" s="3" t="n">
        <v>5.43284627790123E-029</v>
      </c>
      <c r="BV95" s="3" t="n">
        <v>9.65987681265432E-030</v>
      </c>
      <c r="BW95" s="3" t="n">
        <v>1.94010452018518E-029</v>
      </c>
      <c r="BX95" s="3" t="n">
        <v>1.15453632762345E-029</v>
      </c>
      <c r="BY95" s="3" t="n">
        <v>1.39117162490462E-027</v>
      </c>
      <c r="BZ95" s="169"/>
      <c r="CA95" s="169"/>
      <c r="CB95" s="169"/>
      <c r="CC95" s="169"/>
      <c r="CD95" s="169"/>
      <c r="CE95" s="169"/>
      <c r="CF95" s="169"/>
    </row>
    <row r="96" customFormat="false" ht="12.75" hidden="false" customHeight="false" outlineLevel="0" collapsed="false">
      <c r="A96" s="3" t="n">
        <v>6</v>
      </c>
      <c r="B96" s="3" t="n">
        <v>6.3</v>
      </c>
      <c r="C96" s="3" t="s">
        <v>244</v>
      </c>
      <c r="D96" s="3" t="s">
        <v>246</v>
      </c>
      <c r="E96" s="3" t="n">
        <v>680.671244111111</v>
      </c>
      <c r="F96" s="3" t="n">
        <v>619.157639444444</v>
      </c>
      <c r="G96" s="3" t="n">
        <v>553.066905013542</v>
      </c>
      <c r="H96" s="3" t="n">
        <v>61.5136046666666</v>
      </c>
      <c r="I96" s="3" t="n">
        <v>66.090734430902</v>
      </c>
      <c r="J96" s="3" t="n">
        <v>127.604339097568</v>
      </c>
      <c r="K96" s="3" t="n">
        <v>280.800396666666</v>
      </c>
      <c r="L96" s="3" t="n">
        <v>-29.9999999999999</v>
      </c>
      <c r="M96" s="3" t="n">
        <v>486.504761388888</v>
      </c>
      <c r="N96" s="3" t="n">
        <v>0</v>
      </c>
      <c r="O96" s="3" t="n">
        <v>280.843363333333</v>
      </c>
      <c r="P96" s="3" t="n">
        <v>-150</v>
      </c>
      <c r="Q96" s="3" t="n">
        <v>486.220931666666</v>
      </c>
      <c r="R96" s="3" t="n">
        <v>-120.030063075377</v>
      </c>
      <c r="S96" s="3" t="n">
        <v>280.636484444444</v>
      </c>
      <c r="T96" s="3" t="n">
        <v>90</v>
      </c>
      <c r="U96" s="3" t="n">
        <v>486.179534722222</v>
      </c>
      <c r="V96" s="3" t="n">
        <v>120.012392056207</v>
      </c>
      <c r="W96" s="3" t="n">
        <v>1.109792925</v>
      </c>
      <c r="X96" s="3" t="n">
        <v>-79.0518943033157</v>
      </c>
      <c r="Y96" s="3" t="n">
        <v>0.465952331388888</v>
      </c>
      <c r="Z96" s="3" t="n">
        <v>-160.063259283656</v>
      </c>
      <c r="AA96" s="3" t="n">
        <v>1.57195767777777</v>
      </c>
      <c r="AB96" s="3" t="n">
        <v>98.8709785486394</v>
      </c>
      <c r="AC96" s="3" t="n">
        <v>203.2896475</v>
      </c>
      <c r="AD96" s="3" t="n">
        <v>47.1265510555555</v>
      </c>
      <c r="AE96" s="3" t="n">
        <v>430.255045555555</v>
      </c>
      <c r="AF96" s="3" t="n">
        <v>209.2087225</v>
      </c>
      <c r="AG96" s="3" t="n">
        <v>89.4753696973571</v>
      </c>
      <c r="AH96" s="3" t="n">
        <v>3.25007970277777</v>
      </c>
      <c r="AI96" s="3" t="n">
        <v>65.0637548334523</v>
      </c>
      <c r="AJ96" s="3" t="n">
        <v>619.157639444444</v>
      </c>
      <c r="AK96" s="3" t="n">
        <v>24.0867347499999</v>
      </c>
      <c r="AL96" s="3" t="n">
        <v>24.3091072777777</v>
      </c>
      <c r="AM96" s="3" t="n">
        <v>24.3108290277777</v>
      </c>
      <c r="AN96" s="3" t="n">
        <v>1.24631560833333</v>
      </c>
      <c r="AO96" s="3" t="n">
        <v>1.25558823055555</v>
      </c>
      <c r="AP96" s="3" t="n">
        <v>1.27102283333333</v>
      </c>
      <c r="AQ96" s="3" t="n">
        <v>30.0200651944444</v>
      </c>
      <c r="AR96" s="3" t="n">
        <v>30.5221061666666</v>
      </c>
      <c r="AS96" s="3" t="n">
        <v>30.8995021666666</v>
      </c>
      <c r="AT96" s="3" t="n">
        <v>24.3054464055555</v>
      </c>
      <c r="AU96" s="3" t="n">
        <v>18.3553527444444</v>
      </c>
      <c r="AV96" s="3" t="n">
        <v>24.3228673527777</v>
      </c>
      <c r="AW96" s="3" t="n">
        <v>18.1771163472222</v>
      </c>
      <c r="AX96" s="3" t="n">
        <v>24.2660908361111</v>
      </c>
      <c r="AY96" s="3" t="n">
        <v>18.4669192777777</v>
      </c>
      <c r="AZ96" s="3" t="n">
        <v>1.94386466855477</v>
      </c>
      <c r="BA96" s="3" t="n">
        <v>2.28724290909275</v>
      </c>
      <c r="BB96" s="3" t="n">
        <v>1.82303442062132</v>
      </c>
      <c r="BC96" s="3" t="n">
        <v>2.22570255671173</v>
      </c>
      <c r="BD96" s="3" t="n">
        <v>1.80581806286875</v>
      </c>
      <c r="BE96" s="3" t="n">
        <v>2.25501081567593</v>
      </c>
      <c r="BF96" s="3" t="n">
        <v>47.2464984544924</v>
      </c>
      <c r="BG96" s="3" t="n">
        <v>41.983151379056</v>
      </c>
      <c r="BH96" s="3" t="n">
        <v>44.341424411069</v>
      </c>
      <c r="BI96" s="3" t="n">
        <v>40.456854739548</v>
      </c>
      <c r="BJ96" s="3" t="n">
        <v>43.8201452075748</v>
      </c>
      <c r="BK96" s="3" t="n">
        <v>41.6430753411198</v>
      </c>
      <c r="BL96" s="3" t="n">
        <v>24.2452528027777</v>
      </c>
      <c r="BM96" s="168" t="n">
        <v>24.2595838638888</v>
      </c>
      <c r="BN96" s="168" t="n">
        <v>24.2785672944444</v>
      </c>
      <c r="BO96" s="168" t="n">
        <v>24.2791855861111</v>
      </c>
      <c r="BP96" s="3" t="n">
        <v>-0.000140603761111111</v>
      </c>
      <c r="BQ96" s="3" t="n">
        <v>-0.000220874505555555</v>
      </c>
      <c r="BR96" s="3" t="n">
        <v>-0.000236871255555555</v>
      </c>
      <c r="BS96" s="3" t="n">
        <v>85.0697950118741</v>
      </c>
      <c r="BT96" s="168" t="n">
        <v>84.9245900843935</v>
      </c>
      <c r="BU96" s="168" t="n">
        <v>85.6757020205694</v>
      </c>
      <c r="BV96" s="168" t="n">
        <v>81.8720629092035</v>
      </c>
      <c r="BW96" s="3" t="n">
        <v>2.29097295247345E-027</v>
      </c>
      <c r="BX96" s="3" t="n">
        <v>5.46382237619259E-027</v>
      </c>
      <c r="BY96" s="3" t="n">
        <v>6.25769266835493E-027</v>
      </c>
      <c r="BZ96" s="169"/>
      <c r="CA96" s="169"/>
      <c r="CB96" s="169"/>
      <c r="CC96" s="169"/>
      <c r="CD96" s="169"/>
      <c r="CE96" s="169"/>
      <c r="CF96" s="169"/>
    </row>
    <row r="97" customFormat="false" ht="12.75" hidden="false" customHeight="false" outlineLevel="0" collapsed="false">
      <c r="A97" s="3" t="n">
        <v>6</v>
      </c>
      <c r="B97" s="3" t="n">
        <v>6.4</v>
      </c>
      <c r="C97" s="3" t="s">
        <v>244</v>
      </c>
      <c r="D97" s="3" t="s">
        <v>246</v>
      </c>
      <c r="E97" s="3" t="n">
        <v>1051.73746072222</v>
      </c>
      <c r="F97" s="3" t="n">
        <v>975.190294444444</v>
      </c>
      <c r="G97" s="3" t="n">
        <v>882.743177956997</v>
      </c>
      <c r="H97" s="3" t="n">
        <v>76.5471662777777</v>
      </c>
      <c r="I97" s="168" t="n">
        <v>92.4471164874466</v>
      </c>
      <c r="J97" s="3" t="n">
        <v>168.994282765224</v>
      </c>
      <c r="K97" s="3" t="n">
        <v>280.595281666666</v>
      </c>
      <c r="L97" s="3" t="n">
        <v>-29.9999999999999</v>
      </c>
      <c r="M97" s="3" t="n">
        <v>486.324129444444</v>
      </c>
      <c r="N97" s="3" t="n">
        <v>0</v>
      </c>
      <c r="O97" s="168" t="n">
        <v>280.823018333333</v>
      </c>
      <c r="P97" s="3" t="n">
        <v>-150</v>
      </c>
      <c r="Q97" s="3" t="n">
        <v>486.156579166666</v>
      </c>
      <c r="R97" s="3" t="n">
        <v>-120.045799247077</v>
      </c>
      <c r="S97" s="3" t="n">
        <v>280.498490555555</v>
      </c>
      <c r="T97" s="168" t="n">
        <v>90</v>
      </c>
      <c r="U97" s="3" t="n">
        <v>485.795602777777</v>
      </c>
      <c r="V97" s="168" t="n">
        <v>119.98016418119</v>
      </c>
      <c r="W97" s="3" t="n">
        <v>1.55160548333333</v>
      </c>
      <c r="X97" s="3" t="n">
        <v>-80.8078188117494</v>
      </c>
      <c r="Y97" s="3" t="n">
        <v>0.907015207777777</v>
      </c>
      <c r="Z97" s="3" t="n">
        <v>-157.456806429679</v>
      </c>
      <c r="AA97" s="3" t="n">
        <v>2.45647701388888</v>
      </c>
      <c r="AB97" s="3" t="n">
        <v>97.4251298295041</v>
      </c>
      <c r="AC97" s="3" t="n">
        <v>274.056704444444</v>
      </c>
      <c r="AD97" s="3" t="n">
        <v>100.008195444444</v>
      </c>
      <c r="AE97" s="3" t="n">
        <v>677.672560833333</v>
      </c>
      <c r="AF97" s="3" t="n">
        <v>207.180930277777</v>
      </c>
      <c r="AG97" s="3" t="n">
        <v>89.2389060741892</v>
      </c>
      <c r="AH97" s="3" t="n">
        <v>4.95676328888888</v>
      </c>
      <c r="AI97" s="168" t="n">
        <v>70.9710637374223</v>
      </c>
      <c r="AJ97" s="168" t="n">
        <v>975.190294444444</v>
      </c>
      <c r="AK97" s="3" t="n">
        <v>24.0328116111111</v>
      </c>
      <c r="AL97" s="3" t="n">
        <v>24.222343</v>
      </c>
      <c r="AM97" s="3" t="n">
        <v>24.2246559166666</v>
      </c>
      <c r="AN97" s="3" t="n">
        <v>1.21394803611111</v>
      </c>
      <c r="AO97" s="3" t="n">
        <v>1.21477714166666</v>
      </c>
      <c r="AP97" s="3" t="n">
        <v>1.21978277222222</v>
      </c>
      <c r="AQ97" s="168" t="n">
        <v>29.1743836666666</v>
      </c>
      <c r="AR97" s="168" t="n">
        <v>29.4245994722222</v>
      </c>
      <c r="AS97" s="168" t="n">
        <v>29.5486846944444</v>
      </c>
      <c r="AT97" s="168" t="n">
        <v>24.1595594472222</v>
      </c>
      <c r="AU97" s="168" t="n">
        <v>18.1133694694444</v>
      </c>
      <c r="AV97" s="3" t="n">
        <v>24.1795995611111</v>
      </c>
      <c r="AW97" s="168" t="n">
        <v>17.9434199916666</v>
      </c>
      <c r="AX97" s="168" t="n">
        <v>24.1232331444444</v>
      </c>
      <c r="AY97" s="168" t="n">
        <v>18.1966388305555</v>
      </c>
      <c r="AZ97" s="168" t="n">
        <v>3.44960968406724</v>
      </c>
      <c r="BA97" s="3" t="n">
        <v>4.07269219585926</v>
      </c>
      <c r="BB97" s="3" t="n">
        <v>3.22644259611093</v>
      </c>
      <c r="BC97" s="3" t="n">
        <v>3.96094372087339</v>
      </c>
      <c r="BD97" s="3" t="n">
        <v>3.17728354121545</v>
      </c>
      <c r="BE97" s="3" t="n">
        <v>3.93799455777568</v>
      </c>
      <c r="BF97" s="3" t="n">
        <v>83.3410399339041</v>
      </c>
      <c r="BG97" s="3" t="n">
        <v>73.7702086810028</v>
      </c>
      <c r="BH97" s="3" t="n">
        <v>78.014091649587</v>
      </c>
      <c r="BI97" s="168" t="n">
        <v>71.0728917298878</v>
      </c>
      <c r="BJ97" s="168" t="n">
        <v>76.6463281884169</v>
      </c>
      <c r="BK97" s="168" t="n">
        <v>71.6583446742351</v>
      </c>
      <c r="BL97" s="168" t="n">
        <v>24.1584050861111</v>
      </c>
      <c r="BM97" s="168" t="n">
        <v>24.1742143583333</v>
      </c>
      <c r="BN97" s="168" t="n">
        <v>24.1936058916666</v>
      </c>
      <c r="BO97" s="168" t="n">
        <v>24.1891785638888</v>
      </c>
      <c r="BP97" s="168" t="n">
        <v>24.1761300611111</v>
      </c>
      <c r="BQ97" s="168" t="n">
        <v>24.1832609805555</v>
      </c>
      <c r="BR97" s="168" t="n">
        <v>24.1850654638888</v>
      </c>
      <c r="BS97" s="168" t="n">
        <v>84.4614382026987</v>
      </c>
      <c r="BT97" s="168" t="n">
        <v>84.3279422781948</v>
      </c>
      <c r="BU97" s="168" t="n">
        <v>85.0771171660578</v>
      </c>
      <c r="BV97" s="168" t="n">
        <v>81.266161071017</v>
      </c>
      <c r="BW97" s="3" t="n">
        <v>83.0234751711695</v>
      </c>
      <c r="BX97" s="3" t="n">
        <v>78.9244417726713</v>
      </c>
      <c r="BY97" s="3" t="n">
        <v>81.0134893767292</v>
      </c>
      <c r="BZ97" s="169"/>
      <c r="CA97" s="169"/>
      <c r="CB97" s="169"/>
      <c r="CC97" s="169"/>
      <c r="CD97" s="169"/>
      <c r="CE97" s="169"/>
      <c r="CF97" s="169"/>
    </row>
    <row r="98" customFormat="false" ht="12.75" hidden="false" customHeight="false" outlineLevel="0" collapsed="false">
      <c r="A98" s="3" t="n">
        <v>5</v>
      </c>
      <c r="B98" s="3" t="n">
        <v>5.1</v>
      </c>
      <c r="C98" s="3" t="s">
        <v>244</v>
      </c>
      <c r="D98" s="3" t="s">
        <v>247</v>
      </c>
      <c r="E98" s="3"/>
      <c r="F98" s="3"/>
      <c r="G98" s="3"/>
      <c r="H98" s="3"/>
      <c r="I98" s="3"/>
      <c r="J98" s="3"/>
      <c r="K98" s="3"/>
      <c r="L98" s="168"/>
      <c r="M98" s="3"/>
      <c r="N98" s="3"/>
      <c r="O98" s="3"/>
      <c r="P98" s="3"/>
      <c r="Q98" s="3"/>
      <c r="R98" s="168"/>
      <c r="S98" s="3"/>
      <c r="T98" s="3"/>
      <c r="U98" s="3"/>
      <c r="V98" s="3"/>
      <c r="W98" s="168"/>
      <c r="X98" s="3"/>
      <c r="Y98" s="168"/>
      <c r="Z98" s="3"/>
      <c r="AA98" s="168"/>
      <c r="AB98" s="3"/>
      <c r="AC98" s="3"/>
      <c r="AD98" s="3"/>
      <c r="AE98" s="3"/>
      <c r="AF98" s="3"/>
      <c r="AG98" s="168"/>
      <c r="AH98" s="3"/>
      <c r="AI98" s="3"/>
      <c r="AJ98" s="3"/>
      <c r="AK98" s="168"/>
      <c r="AL98" s="168"/>
      <c r="AM98" s="3"/>
      <c r="AN98" s="168"/>
      <c r="AO98" s="3"/>
      <c r="AP98" s="168"/>
      <c r="AQ98" s="3"/>
      <c r="AR98" s="3"/>
      <c r="AS98" s="3"/>
      <c r="AT98" s="3"/>
      <c r="AU98" s="168"/>
      <c r="AV98" s="168"/>
      <c r="AW98" s="168"/>
      <c r="AX98" s="168"/>
      <c r="AY98" s="168"/>
      <c r="AZ98" s="168"/>
      <c r="BA98" s="168"/>
      <c r="BB98" s="168"/>
      <c r="BC98" s="168"/>
      <c r="BD98" s="169"/>
      <c r="BE98" s="169"/>
      <c r="BF98" s="169"/>
      <c r="BG98" s="3"/>
      <c r="BH98" s="3"/>
      <c r="BI98" s="3"/>
      <c r="BJ98" s="168"/>
      <c r="BK98" s="168"/>
      <c r="BL98" s="168"/>
      <c r="BM98" s="168"/>
      <c r="BN98" s="168"/>
      <c r="BO98" s="168"/>
      <c r="BP98" s="3"/>
      <c r="BQ98" s="3"/>
      <c r="BR98" s="3"/>
      <c r="BS98" s="169"/>
      <c r="BT98" s="169"/>
      <c r="BU98" s="169"/>
      <c r="BV98" s="169"/>
      <c r="BW98" s="169"/>
      <c r="BX98" s="169"/>
      <c r="BY98" s="169"/>
      <c r="BZ98" s="169" t="n">
        <f aca="false">IFERROR(__xludf.dummyfunction("COVARIANCE.S(FILTER(AH$2:AH$105,$B$2:$B$105 = $B98, $C$2:$C$105 &lt;&gt; $C98, $D$2:$D$105 = ""Mean""),FILTER(AK$2:AK$105,$B$2:$B$105 = $B98, $C$2:$C$105 &lt;&gt; $C98, $D$2:$D$105 = ""Mean""))"),-0.00000000180911443124907)</f>
        <v>-1.80911443124907E-009</v>
      </c>
      <c r="CA98" s="169" t="n">
        <f aca="false">IFERROR(__xludf.dummyfunction("COVARIANCE.S(FILTER(AI$2:AI$105,$B$2:$B$105 = $B98, $C$2:$C$105 &lt;&gt; $C98, $D$2:$D$105 = ""Mean""),FILTER(AL$2:AL$105,$B$2:$B$105 = $B98, $C$2:$C$105 &lt;&gt; $C98, $D$2:$D$105 = ""Mean""))"),-0.00000224005896145224)</f>
        <v>-2.24005896145224E-006</v>
      </c>
      <c r="CB98" s="169" t="n">
        <f aca="false">IFERROR(__xludf.dummyfunction("COVARIANCE.S(FILTER(AJ$2:AJ$105,$B$2:$B$105 = $B98, $C$2:$C$105 &lt;&gt; $C98, $D$2:$D$105 = ""Mean""),FILTER(AM$2:AM$105,$B$2:$B$105 = $B98, $C$2:$C$105 &lt;&gt; $C98, $D$2:$D$105 = ""Mean""))"),-0.00000608775017541369)</f>
        <v>-6.08775017541369E-006</v>
      </c>
      <c r="CC98" s="169" t="n">
        <f aca="false">IFERROR(__xludf.dummyfunction("COVARIANCE.S(FILTER(AR$2:AR$105,$B$2:$B$105 = $B98, $C$2:$C$105 &lt;&gt; $C98, $D$2:$D$105 = ""Mean""),FILTER(AX$2:AX$105,$B$2:$B$105 = $B98, $C$2:$C$105 &lt;&gt; $C98, $D$2:$D$105 = ""Mean""))"),-0.0000000000421955935596343)</f>
        <v>-4.21955935596343E-011</v>
      </c>
      <c r="CD98" s="169" t="n">
        <f aca="false">IFERROR(__xludf.dummyfunction("COVARIANCE.S(FILTER(AT$2:AT$105,$B$2:$B$105 = $B98, $C$2:$C$105 &lt;&gt; $C98, $D$2:$D$105 = ""Mean""),FILTER(AZ$2:AZ$105,$B$2:$B$105 = $B98, $C$2:$C$105 &lt;&gt; $C98, $D$2:$D$105 = ""Mean""))"),0.000000342384806116273)</f>
        <v>3.42384806116273E-007</v>
      </c>
      <c r="CE98" s="169" t="n">
        <f aca="false">IFERROR(__xludf.dummyfunction("COVARIANCE.S(FILTER(AV$2:AV$105,$B$2:$B$105 = $B98, $C$2:$C$105 &lt;&gt; $C98, $D$2:$D$105 = ""Mean""),FILTER(BB$2:BB$105,$B$2:$B$105 = $B98, $C$2:$C$105 &lt;&gt; $C98, $D$2:$D$105 = ""Mean""))"),0.0000000230630715956842)</f>
        <v>2.30630715956842E-008</v>
      </c>
      <c r="CF98" s="169"/>
    </row>
    <row r="99" customFormat="false" ht="12.75" hidden="false" customHeight="false" outlineLevel="0" collapsed="false">
      <c r="A99" s="3" t="n">
        <v>5</v>
      </c>
      <c r="B99" s="3" t="n">
        <v>5.2</v>
      </c>
      <c r="C99" s="3" t="s">
        <v>244</v>
      </c>
      <c r="D99" s="3" t="s">
        <v>247</v>
      </c>
      <c r="E99" s="3"/>
      <c r="F99" s="3"/>
      <c r="G99" s="3"/>
      <c r="H99" s="3"/>
      <c r="I99" s="3"/>
      <c r="J99" s="3"/>
      <c r="K99" s="3"/>
      <c r="L99" s="168"/>
      <c r="M99" s="3"/>
      <c r="N99" s="3"/>
      <c r="O99" s="3"/>
      <c r="P99" s="3"/>
      <c r="Q99" s="3"/>
      <c r="R99" s="168"/>
      <c r="S99" s="3"/>
      <c r="T99" s="3"/>
      <c r="U99" s="3"/>
      <c r="V99" s="3"/>
      <c r="W99" s="168"/>
      <c r="X99" s="3"/>
      <c r="Y99" s="168"/>
      <c r="Z99" s="3"/>
      <c r="AA99" s="168"/>
      <c r="AB99" s="3"/>
      <c r="AC99" s="3"/>
      <c r="AD99" s="3"/>
      <c r="AE99" s="3"/>
      <c r="AF99" s="3"/>
      <c r="AG99" s="168"/>
      <c r="AH99" s="3"/>
      <c r="AI99" s="3"/>
      <c r="AJ99" s="3"/>
      <c r="AK99" s="168"/>
      <c r="AL99" s="168"/>
      <c r="AM99" s="3"/>
      <c r="AN99" s="168"/>
      <c r="AO99" s="3"/>
      <c r="AP99" s="168"/>
      <c r="AQ99" s="3"/>
      <c r="AR99" s="3"/>
      <c r="AS99" s="3"/>
      <c r="AT99" s="3"/>
      <c r="AU99" s="168"/>
      <c r="AV99" s="168"/>
      <c r="AW99" s="168"/>
      <c r="AX99" s="168"/>
      <c r="AY99" s="168"/>
      <c r="AZ99" s="168"/>
      <c r="BA99" s="168"/>
      <c r="BB99" s="168"/>
      <c r="BC99" s="168"/>
      <c r="BD99" s="169"/>
      <c r="BE99" s="168"/>
      <c r="BF99" s="168"/>
      <c r="BG99" s="3"/>
      <c r="BH99" s="3"/>
      <c r="BI99" s="3"/>
      <c r="BJ99" s="168"/>
      <c r="BK99" s="168"/>
      <c r="BL99" s="168"/>
      <c r="BM99" s="168"/>
      <c r="BN99" s="168"/>
      <c r="BO99" s="168"/>
      <c r="BP99" s="3"/>
      <c r="BQ99" s="3"/>
      <c r="BR99" s="3"/>
      <c r="BS99" s="169"/>
      <c r="BT99" s="169"/>
      <c r="BU99" s="169"/>
      <c r="BV99" s="169"/>
      <c r="BW99" s="169"/>
      <c r="BX99" s="169"/>
      <c r="BY99" s="169"/>
      <c r="BZ99" s="169" t="n">
        <f aca="false">IFERROR(__xludf.dummyfunction("COVARIANCE.S(FILTER(AH$2:AH$105,$B$2:$B$105 = $B99, $C$2:$C$105 &lt;&gt; $C99, $D$2:$D$105 = ""Mean""),FILTER(AK$2:AK$105,$B$2:$B$105 = $B99, $C$2:$C$105 &lt;&gt; $C99, $D$2:$D$105 = ""Mean""))"),-0.00000763837424176173)</f>
        <v>-7.63837424176173E-006</v>
      </c>
      <c r="CA99" s="169" t="n">
        <f aca="false">IFERROR(__xludf.dummyfunction("COVARIANCE.S(FILTER(AI$2:AI$105,$B$2:$B$105 = $B99, $C$2:$C$105 &lt;&gt; $C99, $D$2:$D$105 = ""Mean""),FILTER(AL$2:AL$105,$B$2:$B$105 = $B99, $C$2:$C$105 &lt;&gt; $C99, $D$2:$D$105 = ""Mean""))"),0.000123581714867593)</f>
        <v>0.000123581714867593</v>
      </c>
      <c r="CB99" s="169" t="n">
        <f aca="false">IFERROR(__xludf.dummyfunction("COVARIANCE.S(FILTER(AJ$2:AJ$105,$B$2:$B$105 = $B99, $C$2:$C$105 &lt;&gt; $C99, $D$2:$D$105 = ""Mean""),FILTER(AM$2:AM$105,$B$2:$B$105 = $B99, $C$2:$C$105 &lt;&gt; $C99, $D$2:$D$105 = ""Mean""))"),-0.00113771767169815)</f>
        <v>-0.00113771767169815</v>
      </c>
      <c r="CC99" s="169" t="n">
        <f aca="false">IFERROR(__xludf.dummyfunction("COVARIANCE.S(FILTER(AR$2:AR$105,$B$2:$B$105 = $B99, $C$2:$C$105 &lt;&gt; $C99, $D$2:$D$105 = ""Mean""),FILTER(AX$2:AX$105,$B$2:$B$105 = $B99, $C$2:$C$105 &lt;&gt; $C99, $D$2:$D$105 = ""Mean""))"),-0.0000203923545958252)</f>
        <v>-2.03923545958252E-005</v>
      </c>
      <c r="CD99" s="169" t="n">
        <f aca="false">IFERROR(__xludf.dummyfunction("COVARIANCE.S(FILTER(AT$2:AT$105,$B$2:$B$105 = $B99, $C$2:$C$105 &lt;&gt; $C99, $D$2:$D$105 = ""Mean""),FILTER(AZ$2:AZ$105,$B$2:$B$105 = $B99, $C$2:$C$105 &lt;&gt; $C99, $D$2:$D$105 = ""Mean""))"),-0.0000000155754338370474)</f>
        <v>-1.55754338370474E-008</v>
      </c>
      <c r="CE99" s="169" t="n">
        <f aca="false">IFERROR(__xludf.dummyfunction("COVARIANCE.S(FILTER(AV$2:AV$105,$B$2:$B$105 = $B99, $C$2:$C$105 &lt;&gt; $C99, $D$2:$D$105 = ""Mean""),FILTER(BB$2:BB$105,$B$2:$B$105 = $B99, $C$2:$C$105 &lt;&gt; $C99, $D$2:$D$105 = ""Mean""))"),0.0000000347913365743293)</f>
        <v>3.47913365743293E-008</v>
      </c>
      <c r="CF99" s="169"/>
    </row>
    <row r="100" customFormat="false" ht="12.75" hidden="false" customHeight="false" outlineLevel="0" collapsed="false">
      <c r="A100" s="170" t="n">
        <v>5</v>
      </c>
      <c r="B100" s="170" t="n">
        <v>5.3</v>
      </c>
      <c r="C100" s="3" t="s">
        <v>244</v>
      </c>
      <c r="D100" s="3" t="s">
        <v>247</v>
      </c>
      <c r="E100" s="3"/>
      <c r="F100" s="3"/>
      <c r="G100" s="3"/>
      <c r="H100" s="3"/>
      <c r="I100" s="3"/>
      <c r="J100" s="3"/>
      <c r="K100" s="3"/>
      <c r="L100" s="168"/>
      <c r="M100" s="3"/>
      <c r="N100" s="3"/>
      <c r="O100" s="3"/>
      <c r="P100" s="3"/>
      <c r="Q100" s="3"/>
      <c r="R100" s="168"/>
      <c r="S100" s="3"/>
      <c r="T100" s="3"/>
      <c r="U100" s="3"/>
      <c r="V100" s="3"/>
      <c r="W100" s="168"/>
      <c r="X100" s="3"/>
      <c r="Y100" s="168"/>
      <c r="Z100" s="3"/>
      <c r="AA100" s="168"/>
      <c r="AB100" s="3"/>
      <c r="AC100" s="3"/>
      <c r="AD100" s="3"/>
      <c r="AE100" s="3"/>
      <c r="AF100" s="3"/>
      <c r="AG100" s="168"/>
      <c r="AH100" s="3"/>
      <c r="AI100" s="3"/>
      <c r="AJ100" s="3"/>
      <c r="AK100" s="168"/>
      <c r="AL100" s="168"/>
      <c r="AM100" s="3"/>
      <c r="AN100" s="168"/>
      <c r="AO100" s="3"/>
      <c r="AP100" s="168"/>
      <c r="AQ100" s="3"/>
      <c r="AR100" s="3"/>
      <c r="AS100" s="3"/>
      <c r="AT100" s="3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3"/>
      <c r="BH100" s="3"/>
      <c r="BI100" s="3"/>
      <c r="BJ100" s="168"/>
      <c r="BK100" s="168"/>
      <c r="BL100" s="168"/>
      <c r="BM100" s="168"/>
      <c r="BN100" s="168"/>
      <c r="BO100" s="168"/>
      <c r="BP100" s="3"/>
      <c r="BQ100" s="3"/>
      <c r="BR100" s="3"/>
      <c r="BS100" s="169"/>
      <c r="BT100" s="169"/>
      <c r="BU100" s="169"/>
      <c r="BV100" s="169"/>
      <c r="BW100" s="169"/>
      <c r="BX100" s="169"/>
      <c r="BY100" s="169"/>
      <c r="BZ100" s="169" t="n">
        <f aca="false">IFERROR(__xludf.dummyfunction("COVARIANCE.S(FILTER(AH$2:AH$105,$B$2:$B$105 = $B100, $C$2:$C$105 &lt;&gt; $C100, $D$2:$D$105 = ""Mean""),FILTER(AK$2:AK$105,$B$2:$B$105 = $B100, $C$2:$C$105 &lt;&gt; $C100, $D$2:$D$105 = ""Mean""))"),0.0000541568972600848)</f>
        <v>5.41568972600848E-005</v>
      </c>
      <c r="CA100" s="169" t="n">
        <f aca="false">IFERROR(__xludf.dummyfunction("COVARIANCE.S(FILTER(AI$2:AI$105,$B$2:$B$105 = $B100, $C$2:$C$105 &lt;&gt; $C100, $D$2:$D$105 = ""Mean""),FILTER(AL$2:AL$105,$B$2:$B$105 = $B100, $C$2:$C$105 &lt;&gt; $C100, $D$2:$D$105 = ""Mean""))"),0.0000765415209298512)</f>
        <v>7.65415209298512E-005</v>
      </c>
      <c r="CB100" s="169" t="n">
        <f aca="false">IFERROR(__xludf.dummyfunction("COVARIANCE.S(FILTER(AJ$2:AJ$105,$B$2:$B$105 = $B100, $C$2:$C$105 &lt;&gt; $C100, $D$2:$D$105 = ""Mean""),FILTER(AM$2:AM$105,$B$2:$B$105 = $B100, $C$2:$C$105 &lt;&gt; $C100, $D$2:$D$105 = ""Mean""))"),0.000775117264109464)</f>
        <v>0.000775117264109464</v>
      </c>
      <c r="CC100" s="169" t="n">
        <f aca="false">IFERROR(__xludf.dummyfunction("COVARIANCE.S(FILTER(AR$2:AR$105,$B$2:$B$105 = $B100, $C$2:$C$105 &lt;&gt; $C100, $D$2:$D$105 = ""Mean""),FILTER(AX$2:AX$105,$B$2:$B$105 = $B100, $C$2:$C$105 &lt;&gt; $C100, $D$2:$D$105 = ""Mean""))"),-0.000268450732195785)</f>
        <v>-0.000268450732195785</v>
      </c>
      <c r="CD100" s="169" t="n">
        <f aca="false">IFERROR(__xludf.dummyfunction("COVARIANCE.S(FILTER(AT$2:AT$105,$B$2:$B$105 = $B100, $C$2:$C$105 &lt;&gt; $C100, $D$2:$D$105 = ""Mean""),FILTER(AZ$2:AZ$105,$B$2:$B$105 = $B100, $C$2:$C$105 &lt;&gt; $C100, $D$2:$D$105 = ""Mean""))"),-0.000000235735831485652)</f>
        <v>-2.35735831485652E-007</v>
      </c>
      <c r="CE100" s="169" t="n">
        <f aca="false">IFERROR(__xludf.dummyfunction("COVARIANCE.S(FILTER(AV$2:AV$105,$B$2:$B$105 = $B100, $C$2:$C$105 &lt;&gt; $C100, $D$2:$D$105 = ""Mean""),FILTER(BB$2:BB$105,$B$2:$B$105 = $B100, $C$2:$C$105 &lt;&gt; $C100, $D$2:$D$105 = ""Mean""))"),0.0000000326065569562064)</f>
        <v>3.26065569562064E-008</v>
      </c>
      <c r="CF100" s="3"/>
    </row>
    <row r="101" customFormat="false" ht="12.75" hidden="false" customHeight="false" outlineLevel="0" collapsed="false">
      <c r="A101" s="170" t="n">
        <v>5</v>
      </c>
      <c r="B101" s="170" t="n">
        <v>5.4</v>
      </c>
      <c r="C101" s="3" t="s">
        <v>244</v>
      </c>
      <c r="D101" s="3" t="s">
        <v>247</v>
      </c>
      <c r="E101" s="3"/>
      <c r="F101" s="3"/>
      <c r="G101" s="3"/>
      <c r="H101" s="3"/>
      <c r="I101" s="3"/>
      <c r="J101" s="3"/>
      <c r="K101" s="3"/>
      <c r="L101" s="168"/>
      <c r="M101" s="3"/>
      <c r="N101" s="3"/>
      <c r="O101" s="3"/>
      <c r="P101" s="3"/>
      <c r="Q101" s="3"/>
      <c r="R101" s="168"/>
      <c r="S101" s="3"/>
      <c r="T101" s="3"/>
      <c r="U101" s="3"/>
      <c r="V101" s="3"/>
      <c r="W101" s="168"/>
      <c r="X101" s="3"/>
      <c r="Y101" s="168"/>
      <c r="Z101" s="3"/>
      <c r="AA101" s="168"/>
      <c r="AB101" s="3"/>
      <c r="AC101" s="3"/>
      <c r="AD101" s="3"/>
      <c r="AE101" s="3"/>
      <c r="AF101" s="3"/>
      <c r="AG101" s="168"/>
      <c r="AH101" s="3"/>
      <c r="AI101" s="3"/>
      <c r="AJ101" s="3"/>
      <c r="AK101" s="168"/>
      <c r="AL101" s="168"/>
      <c r="AM101" s="3"/>
      <c r="AN101" s="168"/>
      <c r="AO101" s="3"/>
      <c r="AP101" s="168"/>
      <c r="AQ101" s="3"/>
      <c r="AR101" s="3"/>
      <c r="AS101" s="3"/>
      <c r="AT101" s="3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3"/>
      <c r="BH101" s="3"/>
      <c r="BI101" s="3"/>
      <c r="BJ101" s="168"/>
      <c r="BK101" s="168"/>
      <c r="BL101" s="168"/>
      <c r="BM101" s="168"/>
      <c r="BN101" s="168"/>
      <c r="BO101" s="168"/>
      <c r="BP101" s="3"/>
      <c r="BQ101" s="3"/>
      <c r="BR101" s="3"/>
      <c r="BS101" s="169"/>
      <c r="BT101" s="169"/>
      <c r="BU101" s="169"/>
      <c r="BV101" s="169"/>
      <c r="BW101" s="169"/>
      <c r="BX101" s="169"/>
      <c r="BY101" s="169"/>
      <c r="BZ101" s="169" t="n">
        <f aca="false">IFERROR(__xludf.dummyfunction("COVARIANCE.S(FILTER(AH$2:AH$105,$B$2:$B$105 = $B101, $C$2:$C$105 &lt;&gt; $C101, $D$2:$D$105 = ""Mean""),FILTER(AK$2:AK$105,$B$2:$B$105 = $B101, $C$2:$C$105 &lt;&gt; $C101, $D$2:$D$105 = ""Mean""))"),0.00019236759613958)</f>
        <v>0.00019236759613958</v>
      </c>
      <c r="CA101" s="169" t="n">
        <f aca="false">IFERROR(__xludf.dummyfunction("COVARIANCE.S(FILTER(AI$2:AI$105,$B$2:$B$105 = $B101, $C$2:$C$105 &lt;&gt; $C101, $D$2:$D$105 = ""Mean""),FILTER(AL$2:AL$105,$B$2:$B$105 = $B101, $C$2:$C$105 &lt;&gt; $C101, $D$2:$D$105 = ""Mean""))"),0.0000890984345754972)</f>
        <v>8.90984345754972E-005</v>
      </c>
      <c r="CB101" s="169" t="n">
        <f aca="false">IFERROR(__xludf.dummyfunction("COVARIANCE.S(FILTER(AJ$2:AJ$105,$B$2:$B$105 = $B101, $C$2:$C$105 &lt;&gt; $C101, $D$2:$D$105 = ""Mean""),FILTER(AM$2:AM$105,$B$2:$B$105 = $B101, $C$2:$C$105 &lt;&gt; $C101, $D$2:$D$105 = ""Mean""))"),0.00324457829284369)</f>
        <v>0.00324457829284369</v>
      </c>
      <c r="CC101" s="169" t="n">
        <f aca="false">IFERROR(__xludf.dummyfunction("COVARIANCE.S(FILTER(AR$2:AR$105,$B$2:$B$105 = $B101, $C$2:$C$105 &lt;&gt; $C101, $D$2:$D$105 = ""Mean""),FILTER(AX$2:AX$105,$B$2:$B$105 = $B101, $C$2:$C$105 &lt;&gt; $C101, $D$2:$D$105 = ""Mean""))"),-0.00131837060272059)</f>
        <v>-0.00131837060272059</v>
      </c>
      <c r="CD101" s="169" t="n">
        <f aca="false">IFERROR(__xludf.dummyfunction("COVARIANCE.S(FILTER(AT$2:AT$105,$B$2:$B$105 = $B101, $C$2:$C$105 &lt;&gt; $C101, $D$2:$D$105 = ""Mean""),FILTER(AZ$2:AZ$105,$B$2:$B$105 = $B101, $C$2:$C$105 &lt;&gt; $C101, $D$2:$D$105 = ""Mean""))"),-0.00000282285989438936)</f>
        <v>-2.82285989438936E-006</v>
      </c>
      <c r="CE101" s="169" t="n">
        <f aca="false">IFERROR(__xludf.dummyfunction("COVARIANCE.S(FILTER(AV$2:AV$105,$B$2:$B$105 = $B101, $C$2:$C$105 &lt;&gt; $C101, $D$2:$D$105 = ""Mean""),FILTER(BB$2:BB$105,$B$2:$B$105 = $B101, $C$2:$C$105 &lt;&gt; $C101, $D$2:$D$105 = ""Mean""))"),0.00000125557788730364)</f>
        <v>1.25557788730364E-006</v>
      </c>
      <c r="CF101" s="3"/>
    </row>
    <row r="102" customFormat="false" ht="12.75" hidden="false" customHeight="false" outlineLevel="0" collapsed="false">
      <c r="A102" s="3" t="n">
        <v>6</v>
      </c>
      <c r="B102" s="3" t="n">
        <v>6.1</v>
      </c>
      <c r="C102" s="3" t="s">
        <v>244</v>
      </c>
      <c r="D102" s="3" t="s">
        <v>247</v>
      </c>
      <c r="E102" s="3"/>
      <c r="F102" s="3"/>
      <c r="G102" s="3"/>
      <c r="H102" s="3"/>
      <c r="I102" s="3"/>
      <c r="J102" s="3"/>
      <c r="K102" s="3"/>
      <c r="L102" s="168"/>
      <c r="M102" s="3"/>
      <c r="N102" s="3"/>
      <c r="O102" s="3"/>
      <c r="P102" s="3"/>
      <c r="Q102" s="3"/>
      <c r="R102" s="168"/>
      <c r="S102" s="3"/>
      <c r="T102" s="3"/>
      <c r="U102" s="3"/>
      <c r="V102" s="3"/>
      <c r="W102" s="168"/>
      <c r="X102" s="3"/>
      <c r="Y102" s="168"/>
      <c r="Z102" s="3"/>
      <c r="AA102" s="168"/>
      <c r="AB102" s="3"/>
      <c r="AC102" s="3"/>
      <c r="AD102" s="3"/>
      <c r="AE102" s="3"/>
      <c r="AF102" s="3"/>
      <c r="AG102" s="168"/>
      <c r="AH102" s="3"/>
      <c r="AI102" s="3"/>
      <c r="AJ102" s="3"/>
      <c r="AK102" s="168"/>
      <c r="AL102" s="168"/>
      <c r="AM102" s="3"/>
      <c r="AN102" s="168"/>
      <c r="AO102" s="3"/>
      <c r="AP102" s="168"/>
      <c r="AQ102" s="3"/>
      <c r="AR102" s="3"/>
      <c r="AS102" s="3"/>
      <c r="AT102" s="3"/>
      <c r="AU102" s="168"/>
      <c r="AV102" s="168"/>
      <c r="AW102" s="168"/>
      <c r="AX102" s="168"/>
      <c r="AY102" s="168"/>
      <c r="AZ102" s="168"/>
      <c r="BA102" s="168"/>
      <c r="BB102" s="168"/>
      <c r="BC102" s="168"/>
      <c r="BD102" s="169"/>
      <c r="BE102" s="169"/>
      <c r="BF102" s="169"/>
      <c r="BG102" s="3"/>
      <c r="BH102" s="3"/>
      <c r="BI102" s="3"/>
      <c r="BJ102" s="168"/>
      <c r="BK102" s="168"/>
      <c r="BL102" s="168"/>
      <c r="BM102" s="168"/>
      <c r="BN102" s="168"/>
      <c r="BO102" s="168"/>
      <c r="BP102" s="3"/>
      <c r="BQ102" s="3"/>
      <c r="BR102" s="3"/>
      <c r="BS102" s="169"/>
      <c r="BT102" s="169"/>
      <c r="BU102" s="169"/>
      <c r="BV102" s="169"/>
      <c r="BW102" s="169"/>
      <c r="BX102" s="169"/>
      <c r="BY102" s="169"/>
      <c r="BZ102" s="169" t="n">
        <f aca="false">IFERROR(__xludf.dummyfunction("COVARIANCE.S(FILTER(AH$2:AH$105,$B$2:$B$105 = $B102, $C$2:$C$105 &lt;&gt; $C102, $D$2:$D$105 = ""Mean""),FILTER(AK$2:AK$105,$B$2:$B$105 = $B102, $C$2:$C$105 &lt;&gt; $C102, $D$2:$D$105 = ""Mean""))"),0.00000018777030122864)</f>
        <v>1.8777030122864E-007</v>
      </c>
      <c r="CA102" s="169" t="n">
        <f aca="false">IFERROR(__xludf.dummyfunction("COVARIANCE.S(FILTER(AI$2:AI$105,$B$2:$B$105 = $B102, $C$2:$C$105 &lt;&gt; $C102, $D$2:$D$105 = ""Mean""),FILTER(AL$2:AL$105,$B$2:$B$105 = $B102, $C$2:$C$105 &lt;&gt; $C102, $D$2:$D$105 = ""Mean""))"),-0.00000305940725354243)</f>
        <v>-3.05940725354243E-006</v>
      </c>
      <c r="CB102" s="169" t="n">
        <f aca="false">IFERROR(__xludf.dummyfunction("COVARIANCE.S(FILTER(AJ$2:AJ$105,$B$2:$B$105 = $B102, $C$2:$C$105 &lt;&gt; $C102, $D$2:$D$105 = ""Mean""),FILTER(AM$2:AM$105,$B$2:$B$105 = $B102, $C$2:$C$105 &lt;&gt; $C102, $D$2:$D$105 = ""Mean""))"),0.0000153212464126516)</f>
        <v>1.53212464126516E-005</v>
      </c>
      <c r="CC102" s="169" t="n">
        <f aca="false">IFERROR(__xludf.dummyfunction("COVARIANCE.S(FILTER(AR$2:AR$105,$B$2:$B$105 = $B102, $C$2:$C$105 &lt;&gt; $C102, $D$2:$D$105 = ""Mean""),FILTER(AX$2:AX$105,$B$2:$B$105 = $B102, $C$2:$C$105 &lt;&gt; $C102, $D$2:$D$105 = ""Mean""))"),0.000000000817848285809356)</f>
        <v>8.17848285809356E-010</v>
      </c>
      <c r="CD102" s="169" t="n">
        <f aca="false">IFERROR(__xludf.dummyfunction("COVARIANCE.S(FILTER(AT$2:AT$105,$B$2:$B$105 = $B102, $C$2:$C$105 &lt;&gt; $C102, $D$2:$D$105 = ""Mean""),FILTER(AZ$2:AZ$105,$B$2:$B$105 = $B102, $C$2:$C$105 &lt;&gt; $C102, $D$2:$D$105 = ""Mean""))"),-0.000177752652917951)</f>
        <v>-0.000177752652917951</v>
      </c>
      <c r="CE102" s="169" t="n">
        <f aca="false">IFERROR(__xludf.dummyfunction("COVARIANCE.S(FILTER(AV$2:AV$105,$B$2:$B$105 = $B102, $C$2:$C$105 &lt;&gt; $C102, $D$2:$D$105 = ""Mean""),FILTER(BB$2:BB$105,$B$2:$B$105 = $B102, $C$2:$C$105 &lt;&gt; $C102, $D$2:$D$105 = ""Mean""))"),0.00011615607716943)</f>
        <v>0.00011615607716943</v>
      </c>
      <c r="CF102" s="169"/>
    </row>
    <row r="103" customFormat="false" ht="12.75" hidden="false" customHeight="false" outlineLevel="0" collapsed="false">
      <c r="A103" s="3" t="n">
        <v>6</v>
      </c>
      <c r="B103" s="3" t="n">
        <v>6.2</v>
      </c>
      <c r="C103" s="3" t="s">
        <v>244</v>
      </c>
      <c r="D103" s="3" t="s">
        <v>247</v>
      </c>
      <c r="E103" s="3"/>
      <c r="F103" s="3"/>
      <c r="G103" s="3"/>
      <c r="H103" s="3"/>
      <c r="I103" s="3"/>
      <c r="J103" s="3"/>
      <c r="K103" s="3"/>
      <c r="L103" s="168"/>
      <c r="M103" s="3"/>
      <c r="N103" s="3"/>
      <c r="O103" s="3"/>
      <c r="P103" s="3"/>
      <c r="Q103" s="3"/>
      <c r="R103" s="168"/>
      <c r="S103" s="3"/>
      <c r="T103" s="3"/>
      <c r="U103" s="3"/>
      <c r="V103" s="3"/>
      <c r="W103" s="168"/>
      <c r="X103" s="3"/>
      <c r="Y103" s="168"/>
      <c r="Z103" s="3"/>
      <c r="AA103" s="168"/>
      <c r="AB103" s="3"/>
      <c r="AC103" s="3"/>
      <c r="AD103" s="3"/>
      <c r="AE103" s="3"/>
      <c r="AF103" s="3"/>
      <c r="AG103" s="168"/>
      <c r="AH103" s="3"/>
      <c r="AI103" s="3"/>
      <c r="AJ103" s="3"/>
      <c r="AK103" s="168"/>
      <c r="AL103" s="168"/>
      <c r="AM103" s="3"/>
      <c r="AN103" s="168"/>
      <c r="AO103" s="3"/>
      <c r="AP103" s="168"/>
      <c r="AQ103" s="3"/>
      <c r="AR103" s="3"/>
      <c r="AS103" s="3"/>
      <c r="AT103" s="3"/>
      <c r="AU103" s="168"/>
      <c r="AV103" s="168"/>
      <c r="AW103" s="168"/>
      <c r="AX103" s="168"/>
      <c r="AY103" s="168"/>
      <c r="AZ103" s="168"/>
      <c r="BA103" s="168"/>
      <c r="BB103" s="168"/>
      <c r="BC103" s="168"/>
      <c r="BD103" s="169"/>
      <c r="BE103" s="168"/>
      <c r="BF103" s="168"/>
      <c r="BG103" s="3"/>
      <c r="BH103" s="3"/>
      <c r="BI103" s="3"/>
      <c r="BJ103" s="168"/>
      <c r="BK103" s="168"/>
      <c r="BL103" s="168"/>
      <c r="BM103" s="168"/>
      <c r="BN103" s="168"/>
      <c r="BO103" s="168"/>
      <c r="BP103" s="3"/>
      <c r="BQ103" s="3"/>
      <c r="BR103" s="3"/>
      <c r="BS103" s="169"/>
      <c r="BT103" s="169"/>
      <c r="BU103" s="169"/>
      <c r="BV103" s="169"/>
      <c r="BW103" s="169"/>
      <c r="BX103" s="169"/>
      <c r="BY103" s="169"/>
      <c r="BZ103" s="169" t="n">
        <f aca="false">IFERROR(__xludf.dummyfunction("COVARIANCE.S(FILTER(AH$2:AH$105,$B$2:$B$105 = $B103, $C$2:$C$105 &lt;&gt; $C103, $D$2:$D$105 = ""Mean""),FILTER(AK$2:AK$105,$B$2:$B$105 = $B103, $C$2:$C$105 &lt;&gt; $C103, $D$2:$D$105 = ""Mean""))"),-0.0000115082882517638)</f>
        <v>-1.15082882517638E-005</v>
      </c>
      <c r="CA103" s="169" t="n">
        <f aca="false">IFERROR(__xludf.dummyfunction("COVARIANCE.S(FILTER(AI$2:AI$105,$B$2:$B$105 = $B103, $C$2:$C$105 &lt;&gt; $C103, $D$2:$D$105 = ""Mean""),FILTER(AL$2:AL$105,$B$2:$B$105 = $B103, $C$2:$C$105 &lt;&gt; $C103, $D$2:$D$105 = ""Mean""))"),-0.0000348561018599044)</f>
        <v>-3.48561018599044E-005</v>
      </c>
      <c r="CB103" s="169" t="n">
        <f aca="false">IFERROR(__xludf.dummyfunction("COVARIANCE.S(FILTER(AJ$2:AJ$105,$B$2:$B$105 = $B103, $C$2:$C$105 &lt;&gt; $C103, $D$2:$D$105 = ""Mean""),FILTER(AM$2:AM$105,$B$2:$B$105 = $B103, $C$2:$C$105 &lt;&gt; $C103, $D$2:$D$105 = ""Mean""))"),-0.00249941668885043)</f>
        <v>-0.00249941668885043</v>
      </c>
      <c r="CC103" s="169" t="n">
        <f aca="false">IFERROR(__xludf.dummyfunction("COVARIANCE.S(FILTER(AR$2:AR$105,$B$2:$B$105 = $B103, $C$2:$C$105 &lt;&gt; $C103, $D$2:$D$105 = ""Mean""),FILTER(AX$2:AX$105,$B$2:$B$105 = $B103, $C$2:$C$105 &lt;&gt; $C103, $D$2:$D$105 = ""Mean""))"),0.000167752373072777)</f>
        <v>0.000167752373072777</v>
      </c>
      <c r="CD103" s="169" t="n">
        <f aca="false">IFERROR(__xludf.dummyfunction("COVARIANCE.S(FILTER(AT$2:AT$105,$B$2:$B$105 = $B103, $C$2:$C$105 &lt;&gt; $C103, $D$2:$D$105 = ""Mean""),FILTER(AZ$2:AZ$105,$B$2:$B$105 = $B103, $C$2:$C$105 &lt;&gt; $C103, $D$2:$D$105 = ""Mean""))"),-0.000000406381069945254)</f>
        <v>-4.06381069945254E-007</v>
      </c>
      <c r="CE103" s="169" t="n">
        <f aca="false">IFERROR(__xludf.dummyfunction("COVARIANCE.S(FILTER(AV$2:AV$105,$B$2:$B$105 = $B103, $C$2:$C$105 &lt;&gt; $C103, $D$2:$D$105 = ""Mean""),FILTER(BB$2:BB$105,$B$2:$B$105 = $B103, $C$2:$C$105 &lt;&gt; $C103, $D$2:$D$105 = ""Mean""))"),-0.00000000413455278362657)</f>
        <v>-4.13455278362657E-009</v>
      </c>
      <c r="CF103" s="169"/>
    </row>
    <row r="104" customFormat="false" ht="12.75" hidden="false" customHeight="false" outlineLevel="0" collapsed="false">
      <c r="A104" s="170" t="n">
        <v>6</v>
      </c>
      <c r="B104" s="170" t="n">
        <v>6.3</v>
      </c>
      <c r="C104" s="3" t="s">
        <v>244</v>
      </c>
      <c r="D104" s="3" t="s">
        <v>247</v>
      </c>
      <c r="E104" s="3"/>
      <c r="F104" s="3"/>
      <c r="G104" s="3"/>
      <c r="H104" s="3"/>
      <c r="I104" s="3"/>
      <c r="J104" s="3"/>
      <c r="K104" s="3"/>
      <c r="L104" s="168"/>
      <c r="M104" s="3"/>
      <c r="N104" s="3"/>
      <c r="O104" s="3"/>
      <c r="P104" s="3"/>
      <c r="Q104" s="3"/>
      <c r="R104" s="168"/>
      <c r="S104" s="3"/>
      <c r="T104" s="3"/>
      <c r="U104" s="3"/>
      <c r="V104" s="3"/>
      <c r="W104" s="168"/>
      <c r="X104" s="3"/>
      <c r="Y104" s="168"/>
      <c r="Z104" s="3"/>
      <c r="AA104" s="168"/>
      <c r="AB104" s="3"/>
      <c r="AC104" s="3"/>
      <c r="AD104" s="3"/>
      <c r="AE104" s="3"/>
      <c r="AF104" s="3"/>
      <c r="AG104" s="168"/>
      <c r="AH104" s="3"/>
      <c r="AI104" s="3"/>
      <c r="AJ104" s="3"/>
      <c r="AK104" s="168"/>
      <c r="AL104" s="168"/>
      <c r="AM104" s="3"/>
      <c r="AN104" s="168"/>
      <c r="AO104" s="3"/>
      <c r="AP104" s="168"/>
      <c r="AQ104" s="3"/>
      <c r="AR104" s="3"/>
      <c r="AS104" s="3"/>
      <c r="AT104" s="3"/>
      <c r="AU104" s="168"/>
      <c r="AV104" s="168"/>
      <c r="AW104" s="168"/>
      <c r="AX104" s="168"/>
      <c r="AY104" s="168"/>
      <c r="AZ104" s="168"/>
      <c r="BA104" s="168"/>
      <c r="BB104" s="168"/>
      <c r="BC104" s="168"/>
      <c r="BD104" s="168"/>
      <c r="BE104" s="168"/>
      <c r="BF104" s="168"/>
      <c r="BG104" s="3"/>
      <c r="BH104" s="3"/>
      <c r="BI104" s="3"/>
      <c r="BJ104" s="168"/>
      <c r="BK104" s="168"/>
      <c r="BL104" s="168"/>
      <c r="BM104" s="168"/>
      <c r="BN104" s="168"/>
      <c r="BO104" s="168"/>
      <c r="BP104" s="3"/>
      <c r="BQ104" s="3"/>
      <c r="BR104" s="3"/>
      <c r="BS104" s="169"/>
      <c r="BT104" s="169"/>
      <c r="BU104" s="169"/>
      <c r="BV104" s="169"/>
      <c r="BW104" s="169"/>
      <c r="BX104" s="169"/>
      <c r="BY104" s="169"/>
      <c r="BZ104" s="169" t="n">
        <f aca="false">IFERROR(__xludf.dummyfunction("COVARIANCE.S(FILTER(AH$2:AH$105,$B$2:$B$105 = $B104, $C$2:$C$105 &lt;&gt; $C104, $D$2:$D$105 = ""Mean""),FILTER(AK$2:AK$105,$B$2:$B$105 = $B104, $C$2:$C$105 &lt;&gt; $C104, $D$2:$D$105 = ""Mean""))"),0.0000122887287551736)</f>
        <v>1.22887287551736E-005</v>
      </c>
      <c r="CA104" s="169" t="n">
        <f aca="false">IFERROR(__xludf.dummyfunction("COVARIANCE.S(FILTER(AI$2:AI$105,$B$2:$B$105 = $B104, $C$2:$C$105 &lt;&gt; $C104, $D$2:$D$105 = ""Mean""),FILTER(AL$2:AL$105,$B$2:$B$105 = $B104, $C$2:$C$105 &lt;&gt; $C104, $D$2:$D$105 = ""Mean""))"),0.00000767005298435798)</f>
        <v>7.67005298435798E-006</v>
      </c>
      <c r="CB104" s="169" t="n">
        <f aca="false">IFERROR(__xludf.dummyfunction("COVARIANCE.S(FILTER(AJ$2:AJ$105,$B$2:$B$105 = $B104, $C$2:$C$105 &lt;&gt; $C104, $D$2:$D$105 = ""Mean""),FILTER(AM$2:AM$105,$B$2:$B$105 = $B104, $C$2:$C$105 &lt;&gt; $C104, $D$2:$D$105 = ""Mean""))"),0.0000743825599590395)</f>
        <v>7.43825599590395E-005</v>
      </c>
      <c r="CC104" s="169" t="n">
        <f aca="false">IFERROR(__xludf.dummyfunction("COVARIANCE.S(FILTER(AR$2:AR$105,$B$2:$B$105 = $B104, $C$2:$C$105 &lt;&gt; $C104, $D$2:$D$105 = ""Mean""),FILTER(AX$2:AX$105,$B$2:$B$105 = $B104, $C$2:$C$105 &lt;&gt; $C104, $D$2:$D$105 = ""Mean""))"),0.000117031977248453)</f>
        <v>0.000117031977248453</v>
      </c>
      <c r="CD104" s="169" t="n">
        <f aca="false">IFERROR(__xludf.dummyfunction("COVARIANCE.S(FILTER(AT$2:AT$105,$B$2:$B$105 = $B104, $C$2:$C$105 &lt;&gt; $C104, $D$2:$D$105 = ""Mean""),FILTER(AZ$2:AZ$105,$B$2:$B$105 = $B104, $C$2:$C$105 &lt;&gt; $C104, $D$2:$D$105 = ""Mean""))"),-0.0000000988485897130867)</f>
        <v>-9.88485897130867E-008</v>
      </c>
      <c r="CE104" s="169" t="n">
        <f aca="false">IFERROR(__xludf.dummyfunction("COVARIANCE.S(FILTER(AV$2:AV$105,$B$2:$B$105 = $B104, $C$2:$C$105 &lt;&gt; $C104, $D$2:$D$105 = ""Mean""),FILTER(BB$2:BB$105,$B$2:$B$105 = $B104, $C$2:$C$105 &lt;&gt; $C104, $D$2:$D$105 = ""Mean""))"),0.000000030046879139637)</f>
        <v>3.0046879139637E-008</v>
      </c>
      <c r="CF104" s="3"/>
    </row>
    <row r="105" customFormat="false" ht="12.75" hidden="false" customHeight="false" outlineLevel="0" collapsed="false">
      <c r="A105" s="170" t="n">
        <v>6</v>
      </c>
      <c r="B105" s="170" t="n">
        <v>6.4</v>
      </c>
      <c r="C105" s="3" t="s">
        <v>244</v>
      </c>
      <c r="D105" s="3" t="s">
        <v>247</v>
      </c>
      <c r="E105" s="3"/>
      <c r="F105" s="3"/>
      <c r="G105" s="3"/>
      <c r="H105" s="3"/>
      <c r="I105" s="3"/>
      <c r="J105" s="3"/>
      <c r="K105" s="3"/>
      <c r="L105" s="168"/>
      <c r="M105" s="3"/>
      <c r="N105" s="3"/>
      <c r="O105" s="3"/>
      <c r="P105" s="3"/>
      <c r="Q105" s="3"/>
      <c r="R105" s="168"/>
      <c r="S105" s="3"/>
      <c r="T105" s="3"/>
      <c r="U105" s="3"/>
      <c r="V105" s="3"/>
      <c r="W105" s="168"/>
      <c r="X105" s="3"/>
      <c r="Y105" s="168"/>
      <c r="Z105" s="3"/>
      <c r="AA105" s="168"/>
      <c r="AB105" s="3"/>
      <c r="AC105" s="3"/>
      <c r="AD105" s="3"/>
      <c r="AE105" s="3"/>
      <c r="AF105" s="3"/>
      <c r="AG105" s="168"/>
      <c r="AH105" s="3"/>
      <c r="AI105" s="3"/>
      <c r="AJ105" s="3"/>
      <c r="AK105" s="168"/>
      <c r="AL105" s="168"/>
      <c r="AM105" s="3"/>
      <c r="AN105" s="168"/>
      <c r="AO105" s="3"/>
      <c r="AP105" s="168"/>
      <c r="AQ105" s="3"/>
      <c r="AR105" s="3"/>
      <c r="AS105" s="3"/>
      <c r="AT105" s="3"/>
      <c r="AU105" s="168"/>
      <c r="AV105" s="168"/>
      <c r="AW105" s="168"/>
      <c r="AX105" s="168"/>
      <c r="AY105" s="168"/>
      <c r="AZ105" s="168"/>
      <c r="BA105" s="168"/>
      <c r="BB105" s="168"/>
      <c r="BC105" s="168"/>
      <c r="BD105" s="168"/>
      <c r="BE105" s="168"/>
      <c r="BF105" s="168"/>
      <c r="BG105" s="3"/>
      <c r="BH105" s="3"/>
      <c r="BI105" s="3"/>
      <c r="BJ105" s="168"/>
      <c r="BK105" s="168"/>
      <c r="BL105" s="168"/>
      <c r="BM105" s="168"/>
      <c r="BN105" s="168"/>
      <c r="BO105" s="168"/>
      <c r="BP105" s="3"/>
      <c r="BQ105" s="3"/>
      <c r="BR105" s="3"/>
      <c r="BS105" s="169"/>
      <c r="BT105" s="169"/>
      <c r="BU105" s="169"/>
      <c r="BV105" s="169"/>
      <c r="BW105" s="169"/>
      <c r="BX105" s="169"/>
      <c r="BY105" s="169"/>
      <c r="BZ105" s="169" t="n">
        <f aca="false">IFERROR(__xludf.dummyfunction("COVARIANCE.S(FILTER(AH$2:AH$105,$B$2:$B$105 = $B105, $C$2:$C$105 &lt;&gt; $C105, $D$2:$D$105 = ""Mean""),FILTER(AK$2:AK$105,$B$2:$B$105 = $B105, $C$2:$C$105 &lt;&gt; $C105, $D$2:$D$105 = ""Mean""))"),0.000030388248858608)</f>
        <v>3.0388248858608E-005</v>
      </c>
      <c r="CA105" s="169" t="n">
        <f aca="false">IFERROR(__xludf.dummyfunction("COVARIANCE.S(FILTER(AI$2:AI$105,$B$2:$B$105 = $B105, $C$2:$C$105 &lt;&gt; $C105, $D$2:$D$105 = ""Mean""),FILTER(AL$2:AL$105,$B$2:$B$105 = $B105, $C$2:$C$105 &lt;&gt; $C105, $D$2:$D$105 = ""Mean""))"),0.0000597031352924308)</f>
        <v>5.97031352924308E-005</v>
      </c>
      <c r="CB105" s="169" t="n">
        <f aca="false">IFERROR(__xludf.dummyfunction("COVARIANCE.S(FILTER(AJ$2:AJ$105,$B$2:$B$105 = $B105, $C$2:$C$105 &lt;&gt; $C105, $D$2:$D$105 = ""Mean""),FILTER(AM$2:AM$105,$B$2:$B$105 = $B105, $C$2:$C$105 &lt;&gt; $C105, $D$2:$D$105 = ""Mean""))"),0.00559290907062804)</f>
        <v>0.00559290907062804</v>
      </c>
      <c r="CC105" s="169" t="n">
        <f aca="false">IFERROR(__xludf.dummyfunction("COVARIANCE.S(FILTER(AR$2:AR$105,$B$2:$B$105 = $B105, $C$2:$C$105 &lt;&gt; $C105, $D$2:$D$105 = ""Mean""),FILTER(AX$2:AX$105,$B$2:$B$105 = $B105, $C$2:$C$105 &lt;&gt; $C105, $D$2:$D$105 = ""Mean""))"),0.00148427528101989)</f>
        <v>0.00148427528101989</v>
      </c>
      <c r="CD105" s="169" t="n">
        <f aca="false">IFERROR(__xludf.dummyfunction("COVARIANCE.S(FILTER(AT$2:AT$105,$B$2:$B$105 = $B105, $C$2:$C$105 &lt;&gt; $C105, $D$2:$D$105 = ""Mean""),FILTER(AZ$2:AZ$105,$B$2:$B$105 = $B105, $C$2:$C$105 &lt;&gt; $C105, $D$2:$D$105 = ""Mean""))"),-0.0000146334417758377)</f>
        <v>-1.46334417758377E-005</v>
      </c>
      <c r="CE105" s="169" t="n">
        <f aca="false">IFERROR(__xludf.dummyfunction("COVARIANCE.S(FILTER(AV$2:AV$105,$B$2:$B$105 = $B105, $C$2:$C$105 &lt;&gt; $C105, $D$2:$D$105 = ""Mean""),FILTER(BB$2:BB$105,$B$2:$B$105 = $B105, $C$2:$C$105 &lt;&gt; $C105, $D$2:$D$105 = ""Mean""))"),0.00000232466036100533)</f>
        <v>2.32466036100533E-006</v>
      </c>
      <c r="CF105" s="3"/>
    </row>
    <row r="106" customFormat="false" ht="12.75" hidden="true" customHeight="false" outlineLevel="0" collapsed="false"/>
    <row r="107" customFormat="false" ht="12.75" hidden="true" customHeight="false" outlineLevel="0" collapsed="false"/>
    <row r="108" customFormat="false" ht="12.75" hidden="true" customHeight="false" outlineLevel="0" collapsed="false"/>
    <row r="109" customFormat="false" ht="12.75" hidden="true" customHeight="false" outlineLevel="0" collapsed="false"/>
    <row r="110" customFormat="false" ht="12.75" hidden="true" customHeight="false" outlineLevel="0" collapsed="false"/>
    <row r="111" customFormat="false" ht="12.75" hidden="true" customHeight="false" outlineLevel="0" collapsed="false"/>
    <row r="112" customFormat="false" ht="12.75" hidden="true" customHeight="false" outlineLevel="0" collapsed="false"/>
    <row r="113" customFormat="false" ht="12.75" hidden="true" customHeight="false" outlineLevel="0" collapsed="false"/>
    <row r="114" customFormat="false" ht="12.75" hidden="true" customHeight="false" outlineLevel="0" collapsed="false"/>
    <row r="115" customFormat="false" ht="12.75" hidden="true" customHeight="false" outlineLevel="0" collapsed="false"/>
    <row r="116" customFormat="false" ht="12.75" hidden="true" customHeight="false" outlineLevel="0" collapsed="false"/>
    <row r="117" customFormat="false" ht="12.75" hidden="true" customHeight="false" outlineLevel="0" collapsed="false"/>
    <row r="118" customFormat="false" ht="12.75" hidden="true" customHeight="false" outlineLevel="0" collapsed="false"/>
    <row r="119" customFormat="false" ht="12.75" hidden="true" customHeight="false" outlineLevel="0" collapsed="false"/>
    <row r="120" customFormat="false" ht="12.75" hidden="true" customHeight="false" outlineLevel="0" collapsed="false"/>
    <row r="121" customFormat="false" ht="12.75" hidden="true" customHeight="false" outlineLevel="0" collapsed="false"/>
    <row r="122" customFormat="false" ht="12.75" hidden="true" customHeight="false" outlineLevel="0" collapsed="false"/>
    <row r="123" customFormat="false" ht="12.75" hidden="true" customHeight="false" outlineLevel="0" collapsed="false"/>
    <row r="124" customFormat="false" ht="12.75" hidden="true" customHeight="false" outlineLevel="0" collapsed="false"/>
    <row r="125" customFormat="false" ht="12.75" hidden="true" customHeight="false" outlineLevel="0" collapsed="false"/>
    <row r="126" customFormat="false" ht="12.75" hidden="true" customHeight="false" outlineLevel="0" collapsed="false"/>
    <row r="127" customFormat="false" ht="12.75" hidden="true" customHeight="false" outlineLevel="0" collapsed="false"/>
    <row r="128" customFormat="false" ht="12.75" hidden="true" customHeight="false" outlineLevel="0" collapsed="false"/>
    <row r="129" customFormat="false" ht="12.75" hidden="true" customHeight="false" outlineLevel="0" collapsed="false"/>
    <row r="130" customFormat="false" ht="12.75" hidden="true" customHeight="false" outlineLevel="0" collapsed="false"/>
    <row r="131" customFormat="false" ht="12.75" hidden="true" customHeight="false" outlineLevel="0" collapsed="false"/>
    <row r="132" customFormat="false" ht="12.75" hidden="true" customHeight="false" outlineLevel="0" collapsed="false"/>
    <row r="133" customFormat="false" ht="12.75" hidden="true" customHeight="false" outlineLevel="0" collapsed="false"/>
    <row r="134" customFormat="false" ht="12.75" hidden="true" customHeight="false" outlineLevel="0" collapsed="false"/>
    <row r="135" customFormat="false" ht="12.75" hidden="true" customHeight="false" outlineLevel="0" collapsed="false"/>
    <row r="136" customFormat="false" ht="12.75" hidden="true" customHeight="false" outlineLevel="0" collapsed="false"/>
    <row r="137" customFormat="false" ht="12.75" hidden="true" customHeight="false" outlineLevel="0" collapsed="false"/>
    <row r="138" customFormat="false" ht="12.75" hidden="true" customHeight="false" outlineLevel="0" collapsed="false"/>
    <row r="139" customFormat="false" ht="12.75" hidden="true" customHeight="false" outlineLevel="0" collapsed="false"/>
    <row r="140" customFormat="false" ht="12.75" hidden="true" customHeight="false" outlineLevel="0" collapsed="false"/>
    <row r="141" customFormat="false" ht="12.75" hidden="true" customHeight="false" outlineLevel="0" collapsed="false"/>
    <row r="142" customFormat="false" ht="12.75" hidden="true" customHeight="false" outlineLevel="0" collapsed="false"/>
    <row r="143" customFormat="false" ht="12.75" hidden="true" customHeight="false" outlineLevel="0" collapsed="false"/>
    <row r="144" customFormat="false" ht="12.75" hidden="true" customHeight="false" outlineLevel="0" collapsed="false"/>
    <row r="145" customFormat="false" ht="12.75" hidden="true" customHeight="false" outlineLevel="0" collapsed="false"/>
    <row r="146" customFormat="false" ht="12.75" hidden="true" customHeight="false" outlineLevel="0" collapsed="false"/>
    <row r="147" customFormat="false" ht="12.75" hidden="true" customHeight="false" outlineLevel="0" collapsed="false"/>
    <row r="148" customFormat="false" ht="12.75" hidden="true" customHeight="false" outlineLevel="0" collapsed="false"/>
    <row r="149" customFormat="false" ht="12.75" hidden="true" customHeight="false" outlineLevel="0" collapsed="false"/>
    <row r="150" customFormat="false" ht="12.75" hidden="true" customHeight="false" outlineLevel="0" collapsed="false"/>
    <row r="151" customFormat="false" ht="12.75" hidden="true" customHeight="false" outlineLevel="0" collapsed="false"/>
    <row r="152" customFormat="false" ht="12.75" hidden="true" customHeight="false" outlineLevel="0" collapsed="false"/>
    <row r="153" customFormat="false" ht="12.75" hidden="true" customHeight="false" outlineLevel="0" collapsed="false"/>
    <row r="154" customFormat="false" ht="12.75" hidden="true" customHeight="false" outlineLevel="0" collapsed="false"/>
    <row r="155" customFormat="false" ht="12.75" hidden="true" customHeight="false" outlineLevel="0" collapsed="false"/>
    <row r="156" customFormat="false" ht="12.75" hidden="true" customHeight="false" outlineLevel="0" collapsed="false"/>
    <row r="157" customFormat="false" ht="12.75" hidden="true" customHeight="false" outlineLevel="0" collapsed="false"/>
    <row r="158" customFormat="false" ht="12.75" hidden="true" customHeight="false" outlineLevel="0" collapsed="false"/>
    <row r="159" customFormat="false" ht="12.75" hidden="true" customHeight="false" outlineLevel="0" collapsed="false"/>
    <row r="160" customFormat="false" ht="12.75" hidden="true" customHeight="false" outlineLevel="0" collapsed="false"/>
    <row r="161" customFormat="false" ht="12.75" hidden="true" customHeight="false" outlineLevel="0" collapsed="false"/>
    <row r="162" customFormat="false" ht="12.75" hidden="true" customHeight="false" outlineLevel="0" collapsed="false"/>
    <row r="163" customFormat="false" ht="12.75" hidden="true" customHeight="false" outlineLevel="0" collapsed="false"/>
    <row r="164" customFormat="false" ht="12.75" hidden="true" customHeight="false" outlineLevel="0" collapsed="false"/>
    <row r="165" customFormat="false" ht="12.75" hidden="true" customHeight="false" outlineLevel="0" collapsed="false"/>
    <row r="166" customFormat="false" ht="12.75" hidden="true" customHeight="false" outlineLevel="0" collapsed="false"/>
    <row r="167" customFormat="false" ht="12.75" hidden="true" customHeight="false" outlineLevel="0" collapsed="false"/>
    <row r="168" customFormat="false" ht="12.75" hidden="true" customHeight="false" outlineLevel="0" collapsed="false"/>
    <row r="169" customFormat="false" ht="12.75" hidden="true" customHeight="false" outlineLevel="0" collapsed="false"/>
    <row r="170" customFormat="false" ht="12.75" hidden="true" customHeight="false" outlineLevel="0" collapsed="false"/>
    <row r="171" customFormat="false" ht="12.75" hidden="true" customHeight="false" outlineLevel="0" collapsed="false"/>
    <row r="172" customFormat="false" ht="12.75" hidden="true" customHeight="false" outlineLevel="0" collapsed="false"/>
    <row r="173" customFormat="false" ht="12.75" hidden="true" customHeight="false" outlineLevel="0" collapsed="false"/>
    <row r="174" customFormat="false" ht="12.75" hidden="true" customHeight="false" outlineLevel="0" collapsed="false"/>
    <row r="175" customFormat="false" ht="12.75" hidden="true" customHeight="false" outlineLevel="0" collapsed="false"/>
    <row r="176" customFormat="false" ht="12.75" hidden="true" customHeight="false" outlineLevel="0" collapsed="false"/>
    <row r="177" customFormat="false" ht="12.75" hidden="true" customHeight="false" outlineLevel="0" collapsed="false"/>
    <row r="178" customFormat="false" ht="12.75" hidden="true" customHeight="false" outlineLevel="0" collapsed="false"/>
    <row r="179" customFormat="false" ht="12.75" hidden="true" customHeight="false" outlineLevel="0" collapsed="false"/>
    <row r="180" customFormat="false" ht="12.75" hidden="true" customHeight="false" outlineLevel="0" collapsed="false"/>
    <row r="181" customFormat="false" ht="12.75" hidden="true" customHeight="false" outlineLevel="0" collapsed="false"/>
    <row r="182" customFormat="false" ht="12.75" hidden="true" customHeight="false" outlineLevel="0" collapsed="false"/>
    <row r="183" customFormat="false" ht="12.75" hidden="true" customHeight="false" outlineLevel="0" collapsed="false"/>
    <row r="184" customFormat="false" ht="12.75" hidden="true" customHeight="false" outlineLevel="0" collapsed="false"/>
    <row r="185" customFormat="false" ht="12.75" hidden="true" customHeight="false" outlineLevel="0" collapsed="false"/>
    <row r="186" customFormat="false" ht="12.75" hidden="true" customHeight="false" outlineLevel="0" collapsed="false"/>
    <row r="187" customFormat="false" ht="12.75" hidden="true" customHeight="false" outlineLevel="0" collapsed="false"/>
    <row r="188" customFormat="false" ht="12.75" hidden="true" customHeight="false" outlineLevel="0" collapsed="false"/>
    <row r="189" customFormat="false" ht="12.75" hidden="true" customHeight="false" outlineLevel="0" collapsed="false"/>
    <row r="190" customFormat="false" ht="12.75" hidden="true" customHeight="false" outlineLevel="0" collapsed="false"/>
    <row r="191" customFormat="false" ht="12.75" hidden="true" customHeight="false" outlineLevel="0" collapsed="false"/>
    <row r="192" customFormat="false" ht="12.75" hidden="true" customHeight="false" outlineLevel="0" collapsed="false"/>
    <row r="193" customFormat="false" ht="12.75" hidden="true" customHeight="false" outlineLevel="0" collapsed="false"/>
    <row r="194" customFormat="false" ht="12.75" hidden="true" customHeight="false" outlineLevel="0" collapsed="false"/>
    <row r="195" customFormat="false" ht="12.75" hidden="true" customHeight="false" outlineLevel="0" collapsed="false"/>
    <row r="196" customFormat="false" ht="12.75" hidden="true" customHeight="false" outlineLevel="0" collapsed="false"/>
    <row r="197" customFormat="false" ht="12.75" hidden="true" customHeight="false" outlineLevel="0" collapsed="false"/>
    <row r="198" customFormat="false" ht="12.75" hidden="true" customHeight="false" outlineLevel="0" collapsed="false"/>
    <row r="199" customFormat="false" ht="12.75" hidden="true" customHeight="false" outlineLevel="0" collapsed="false"/>
    <row r="200" customFormat="false" ht="12.75" hidden="true" customHeight="false" outlineLevel="0" collapsed="false"/>
    <row r="201" customFormat="false" ht="12.75" hidden="true" customHeight="false" outlineLevel="0" collapsed="false"/>
    <row r="202" customFormat="false" ht="12.75" hidden="true" customHeight="false" outlineLevel="0" collapsed="false"/>
    <row r="203" customFormat="false" ht="12.75" hidden="true" customHeight="false" outlineLevel="0" collapsed="false"/>
    <row r="204" customFormat="false" ht="12.75" hidden="true" customHeight="false" outlineLevel="0" collapsed="false"/>
    <row r="205" customFormat="false" ht="12.75" hidden="true" customHeight="false" outlineLevel="0" collapsed="false"/>
    <row r="206" customFormat="false" ht="12.75" hidden="true" customHeight="false" outlineLevel="0" collapsed="false"/>
    <row r="207" customFormat="false" ht="12.75" hidden="true" customHeight="false" outlineLevel="0" collapsed="false"/>
    <row r="208" customFormat="false" ht="12.75" hidden="true" customHeight="false" outlineLevel="0" collapsed="false"/>
    <row r="209" customFormat="false" ht="12.75" hidden="true" customHeight="false" outlineLevel="0" collapsed="false"/>
    <row r="210" customFormat="false" ht="12.75" hidden="true" customHeight="false" outlineLevel="0" collapsed="false"/>
    <row r="211" customFormat="false" ht="12.75" hidden="true" customHeight="false" outlineLevel="0" collapsed="false"/>
    <row r="212" customFormat="false" ht="12.75" hidden="true" customHeight="false" outlineLevel="0" collapsed="false"/>
    <row r="213" customFormat="false" ht="12.75" hidden="true" customHeight="false" outlineLevel="0" collapsed="false"/>
    <row r="214" customFormat="false" ht="12.75" hidden="true" customHeight="false" outlineLevel="0" collapsed="false"/>
    <row r="215" customFormat="false" ht="12.75" hidden="true" customHeight="false" outlineLevel="0" collapsed="false"/>
    <row r="216" customFormat="false" ht="12.75" hidden="true" customHeight="false" outlineLevel="0" collapsed="false"/>
    <row r="217" customFormat="false" ht="12.75" hidden="true" customHeight="false" outlineLevel="0" collapsed="false"/>
    <row r="218" customFormat="false" ht="12.75" hidden="true" customHeight="false" outlineLevel="0" collapsed="false"/>
    <row r="219" customFormat="false" ht="12.75" hidden="true" customHeight="false" outlineLevel="0" collapsed="false"/>
    <row r="220" customFormat="false" ht="12.75" hidden="true" customHeight="false" outlineLevel="0" collapsed="false"/>
    <row r="221" customFormat="false" ht="12.75" hidden="true" customHeight="false" outlineLevel="0" collapsed="false"/>
    <row r="222" customFormat="false" ht="12.75" hidden="true" customHeight="false" outlineLevel="0" collapsed="false"/>
    <row r="223" customFormat="false" ht="12.75" hidden="true" customHeight="false" outlineLevel="0" collapsed="false"/>
    <row r="224" customFormat="false" ht="12.75" hidden="true" customHeight="false" outlineLevel="0" collapsed="false"/>
    <row r="225" customFormat="false" ht="12.75" hidden="true" customHeight="false" outlineLevel="0" collapsed="false"/>
    <row r="226" customFormat="false" ht="12.75" hidden="true" customHeight="false" outlineLevel="0" collapsed="false"/>
    <row r="227" customFormat="false" ht="12.75" hidden="true" customHeight="false" outlineLevel="0" collapsed="false"/>
    <row r="228" customFormat="false" ht="12.75" hidden="true" customHeight="false" outlineLevel="0" collapsed="false"/>
    <row r="229" customFormat="false" ht="12.75" hidden="true" customHeight="false" outlineLevel="0" collapsed="false"/>
    <row r="230" customFormat="false" ht="12.75" hidden="true" customHeight="false" outlineLevel="0" collapsed="false"/>
    <row r="231" customFormat="false" ht="12.75" hidden="true" customHeight="false" outlineLevel="0" collapsed="false"/>
    <row r="232" customFormat="false" ht="12.75" hidden="true" customHeight="false" outlineLevel="0" collapsed="false"/>
    <row r="233" customFormat="false" ht="12.75" hidden="true" customHeight="false" outlineLevel="0" collapsed="false"/>
    <row r="234" customFormat="false" ht="12.75" hidden="true" customHeight="false" outlineLevel="0" collapsed="false"/>
    <row r="235" customFormat="false" ht="12.75" hidden="true" customHeight="false" outlineLevel="0" collapsed="false"/>
    <row r="236" customFormat="false" ht="12.75" hidden="true" customHeight="false" outlineLevel="0" collapsed="false"/>
    <row r="237" customFormat="false" ht="12.75" hidden="true" customHeight="false" outlineLevel="0" collapsed="false"/>
    <row r="238" customFormat="false" ht="12.75" hidden="true" customHeight="false" outlineLevel="0" collapsed="false"/>
    <row r="239" customFormat="false" ht="12.75" hidden="true" customHeight="false" outlineLevel="0" collapsed="false"/>
    <row r="240" customFormat="false" ht="12.75" hidden="true" customHeight="false" outlineLevel="0" collapsed="false"/>
    <row r="241" customFormat="false" ht="12.75" hidden="true" customHeight="false" outlineLevel="0" collapsed="false"/>
    <row r="242" customFormat="false" ht="12.75" hidden="true" customHeight="false" outlineLevel="0" collapsed="false"/>
    <row r="243" customFormat="false" ht="12.75" hidden="true" customHeight="false" outlineLevel="0" collapsed="false"/>
    <row r="244" customFormat="false" ht="12.75" hidden="true" customHeight="false" outlineLevel="0" collapsed="false"/>
    <row r="245" customFormat="false" ht="12.75" hidden="true" customHeight="false" outlineLevel="0" collapsed="false"/>
    <row r="246" customFormat="false" ht="12.75" hidden="true" customHeight="false" outlineLevel="0" collapsed="false"/>
    <row r="247" customFormat="false" ht="12.75" hidden="true" customHeight="false" outlineLevel="0" collapsed="false"/>
    <row r="248" customFormat="false" ht="12.75" hidden="true" customHeight="false" outlineLevel="0" collapsed="false"/>
    <row r="249" customFormat="false" ht="12.75" hidden="true" customHeight="false" outlineLevel="0" collapsed="false"/>
    <row r="250" customFormat="false" ht="12.75" hidden="true" customHeight="false" outlineLevel="0" collapsed="false"/>
    <row r="251" customFormat="false" ht="12.75" hidden="true" customHeight="false" outlineLevel="0" collapsed="false"/>
    <row r="252" customFormat="false" ht="12.75" hidden="true" customHeight="false" outlineLevel="0" collapsed="false"/>
    <row r="253" customFormat="false" ht="12.75" hidden="true" customHeight="false" outlineLevel="0" collapsed="false"/>
    <row r="254" customFormat="false" ht="12.75" hidden="true" customHeight="false" outlineLevel="0" collapsed="false"/>
    <row r="255" customFormat="false" ht="12.75" hidden="true" customHeight="false" outlineLevel="0" collapsed="false"/>
    <row r="256" customFormat="false" ht="12.75" hidden="true" customHeight="false" outlineLevel="0" collapsed="false"/>
    <row r="257" customFormat="false" ht="12.75" hidden="true" customHeight="false" outlineLevel="0" collapsed="false"/>
    <row r="258" customFormat="false" ht="12.75" hidden="true" customHeight="false" outlineLevel="0" collapsed="false"/>
    <row r="259" customFormat="false" ht="12.75" hidden="true" customHeight="false" outlineLevel="0" collapsed="false"/>
    <row r="260" customFormat="false" ht="12.75" hidden="true" customHeight="false" outlineLevel="0" collapsed="false"/>
    <row r="261" customFormat="false" ht="12.75" hidden="true" customHeight="false" outlineLevel="0" collapsed="false"/>
    <row r="262" customFormat="false" ht="12.75" hidden="true" customHeight="false" outlineLevel="0" collapsed="false"/>
    <row r="263" customFormat="false" ht="12.75" hidden="true" customHeight="false" outlineLevel="0" collapsed="false"/>
    <row r="264" customFormat="false" ht="12.75" hidden="true" customHeight="false" outlineLevel="0" collapsed="false"/>
    <row r="265" customFormat="false" ht="12.75" hidden="true" customHeight="false" outlineLevel="0" collapsed="false"/>
    <row r="266" customFormat="false" ht="12.75" hidden="true" customHeight="false" outlineLevel="0" collapsed="false"/>
    <row r="267" customFormat="false" ht="12.75" hidden="true" customHeight="false" outlineLevel="0" collapsed="false"/>
    <row r="268" customFormat="false" ht="12.75" hidden="true" customHeight="false" outlineLevel="0" collapsed="false"/>
    <row r="269" customFormat="false" ht="12.75" hidden="true" customHeight="false" outlineLevel="0" collapsed="false"/>
    <row r="270" customFormat="false" ht="12.75" hidden="true" customHeight="false" outlineLevel="0" collapsed="false"/>
    <row r="271" customFormat="false" ht="12.75" hidden="true" customHeight="false" outlineLevel="0" collapsed="false"/>
    <row r="272" customFormat="false" ht="12.75" hidden="true" customHeight="false" outlineLevel="0" collapsed="false"/>
    <row r="273" customFormat="false" ht="12.75" hidden="true" customHeight="false" outlineLevel="0" collapsed="false"/>
    <row r="274" customFormat="false" ht="12.75" hidden="true" customHeight="false" outlineLevel="0" collapsed="false"/>
    <row r="275" customFormat="false" ht="12.75" hidden="true" customHeight="false" outlineLevel="0" collapsed="false"/>
    <row r="276" customFormat="false" ht="12.75" hidden="true" customHeight="false" outlineLevel="0" collapsed="false"/>
    <row r="277" customFormat="false" ht="12.75" hidden="true" customHeight="false" outlineLevel="0" collapsed="false"/>
    <row r="278" customFormat="false" ht="12.75" hidden="true" customHeight="false" outlineLevel="0" collapsed="false"/>
    <row r="279" customFormat="false" ht="12.75" hidden="true" customHeight="false" outlineLevel="0" collapsed="false"/>
    <row r="280" customFormat="false" ht="12.75" hidden="true" customHeight="false" outlineLevel="0" collapsed="false"/>
    <row r="281" customFormat="false" ht="12.75" hidden="true" customHeight="false" outlineLevel="0" collapsed="false"/>
    <row r="282" customFormat="false" ht="12.75" hidden="true" customHeight="false" outlineLevel="0" collapsed="false"/>
    <row r="283" customFormat="false" ht="12.75" hidden="true" customHeight="false" outlineLevel="0" collapsed="false"/>
    <row r="284" customFormat="false" ht="12.75" hidden="true" customHeight="false" outlineLevel="0" collapsed="false"/>
    <row r="285" customFormat="false" ht="12.75" hidden="true" customHeight="false" outlineLevel="0" collapsed="false"/>
    <row r="286" customFormat="false" ht="12.75" hidden="true" customHeight="false" outlineLevel="0" collapsed="false"/>
    <row r="287" customFormat="false" ht="12.75" hidden="true" customHeight="false" outlineLevel="0" collapsed="false"/>
    <row r="288" customFormat="false" ht="12.75" hidden="true" customHeight="false" outlineLevel="0" collapsed="false"/>
    <row r="289" customFormat="false" ht="12.75" hidden="true" customHeight="false" outlineLevel="0" collapsed="false"/>
    <row r="290" customFormat="false" ht="12.75" hidden="true" customHeight="false" outlineLevel="0" collapsed="false"/>
    <row r="291" customFormat="false" ht="12.75" hidden="true" customHeight="false" outlineLevel="0" collapsed="false"/>
    <row r="292" customFormat="false" ht="12.75" hidden="true" customHeight="false" outlineLevel="0" collapsed="false"/>
    <row r="293" customFormat="false" ht="12.75" hidden="true" customHeight="false" outlineLevel="0" collapsed="false"/>
    <row r="294" customFormat="false" ht="12.75" hidden="true" customHeight="false" outlineLevel="0" collapsed="false"/>
    <row r="295" customFormat="false" ht="12.75" hidden="true" customHeight="false" outlineLevel="0" collapsed="false"/>
    <row r="296" customFormat="false" ht="12.75" hidden="true" customHeight="false" outlineLevel="0" collapsed="false"/>
    <row r="297" customFormat="false" ht="12.75" hidden="true" customHeight="false" outlineLevel="0" collapsed="false"/>
    <row r="298" customFormat="false" ht="12.75" hidden="true" customHeight="false" outlineLevel="0" collapsed="false"/>
    <row r="299" customFormat="false" ht="12.75" hidden="true" customHeight="false" outlineLevel="0" collapsed="false"/>
    <row r="300" customFormat="false" ht="12.75" hidden="true" customHeight="false" outlineLevel="0" collapsed="false"/>
    <row r="301" customFormat="false" ht="12.75" hidden="true" customHeight="false" outlineLevel="0" collapsed="false"/>
    <row r="302" customFormat="false" ht="12.75" hidden="true" customHeight="false" outlineLevel="0" collapsed="false"/>
    <row r="303" customFormat="false" ht="12.75" hidden="true" customHeight="false" outlineLevel="0" collapsed="false"/>
    <row r="304" customFormat="false" ht="12.75" hidden="true" customHeight="false" outlineLevel="0" collapsed="false"/>
    <row r="305" customFormat="false" ht="12.75" hidden="true" customHeight="false" outlineLevel="0" collapsed="false"/>
    <row r="306" customFormat="false" ht="12.75" hidden="true" customHeight="false" outlineLevel="0" collapsed="false"/>
    <row r="307" customFormat="false" ht="12.75" hidden="true" customHeight="false" outlineLevel="0" collapsed="false"/>
    <row r="308" customFormat="false" ht="12.75" hidden="true" customHeight="false" outlineLevel="0" collapsed="false"/>
    <row r="309" customFormat="false" ht="12.75" hidden="true" customHeight="false" outlineLevel="0" collapsed="false"/>
    <row r="310" customFormat="false" ht="12.75" hidden="true" customHeight="false" outlineLevel="0" collapsed="false"/>
    <row r="311" customFormat="false" ht="12.75" hidden="true" customHeight="false" outlineLevel="0" collapsed="false"/>
    <row r="312" customFormat="false" ht="12.75" hidden="true" customHeight="false" outlineLevel="0" collapsed="false"/>
    <row r="313" customFormat="false" ht="12.75" hidden="true" customHeight="false" outlineLevel="0" collapsed="false"/>
    <row r="314" customFormat="false" ht="12.75" hidden="true" customHeight="false" outlineLevel="0" collapsed="false"/>
    <row r="315" customFormat="false" ht="12.75" hidden="true" customHeight="false" outlineLevel="0" collapsed="false"/>
    <row r="316" customFormat="false" ht="12.75" hidden="true" customHeight="false" outlineLevel="0" collapsed="false"/>
    <row r="317" customFormat="false" ht="12.75" hidden="true" customHeight="false" outlineLevel="0" collapsed="false"/>
    <row r="318" customFormat="false" ht="12.75" hidden="true" customHeight="false" outlineLevel="0" collapsed="false"/>
    <row r="319" customFormat="false" ht="12.75" hidden="true" customHeight="false" outlineLevel="0" collapsed="false"/>
    <row r="320" customFormat="false" ht="12.75" hidden="true" customHeight="false" outlineLevel="0" collapsed="false"/>
    <row r="321" customFormat="false" ht="12.75" hidden="true" customHeight="false" outlineLevel="0" collapsed="false"/>
    <row r="322" customFormat="false" ht="12.75" hidden="true" customHeight="false" outlineLevel="0" collapsed="false"/>
    <row r="323" customFormat="false" ht="12.75" hidden="true" customHeight="false" outlineLevel="0" collapsed="false"/>
    <row r="324" customFormat="false" ht="12.75" hidden="true" customHeight="false" outlineLevel="0" collapsed="false"/>
    <row r="325" customFormat="false" ht="12.75" hidden="true" customHeight="false" outlineLevel="0" collapsed="false"/>
    <row r="326" customFormat="false" ht="12.75" hidden="true" customHeight="false" outlineLevel="0" collapsed="false"/>
    <row r="327" customFormat="false" ht="12.75" hidden="true" customHeight="false" outlineLevel="0" collapsed="false"/>
    <row r="328" customFormat="false" ht="12.75" hidden="true" customHeight="false" outlineLevel="0" collapsed="false"/>
    <row r="329" customFormat="false" ht="12.75" hidden="true" customHeight="false" outlineLevel="0" collapsed="false"/>
    <row r="330" customFormat="false" ht="12.75" hidden="true" customHeight="false" outlineLevel="0" collapsed="false"/>
    <row r="331" customFormat="false" ht="12.75" hidden="true" customHeight="false" outlineLevel="0" collapsed="false"/>
    <row r="332" customFormat="false" ht="12.75" hidden="true" customHeight="false" outlineLevel="0" collapsed="false"/>
    <row r="333" customFormat="false" ht="12.75" hidden="true" customHeight="false" outlineLevel="0" collapsed="false"/>
    <row r="334" customFormat="false" ht="12.75" hidden="true" customHeight="false" outlineLevel="0" collapsed="false"/>
    <row r="335" customFormat="false" ht="12.75" hidden="true" customHeight="false" outlineLevel="0" collapsed="false"/>
    <row r="336" customFormat="false" ht="12.75" hidden="true" customHeight="false" outlineLevel="0" collapsed="false"/>
    <row r="337" customFormat="false" ht="12.75" hidden="true" customHeight="fals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  <row r="340" customFormat="false" ht="12.75" hidden="true" customHeight="false" outlineLevel="0" collapsed="false"/>
    <row r="341" customFormat="false" ht="12.75" hidden="true" customHeight="false" outlineLevel="0" collapsed="false"/>
    <row r="342" customFormat="false" ht="12.75" hidden="true" customHeight="false" outlineLevel="0" collapsed="false"/>
    <row r="343" customFormat="false" ht="12.75" hidden="true" customHeight="false" outlineLevel="0" collapsed="false"/>
    <row r="344" customFormat="false" ht="12.75" hidden="true" customHeight="false" outlineLevel="0" collapsed="false"/>
    <row r="345" customFormat="false" ht="12.75" hidden="true" customHeight="false" outlineLevel="0" collapsed="false"/>
    <row r="346" customFormat="false" ht="12.75" hidden="true" customHeight="false" outlineLevel="0" collapsed="false"/>
    <row r="347" customFormat="false" ht="12.75" hidden="true" customHeight="false" outlineLevel="0" collapsed="false"/>
    <row r="348" customFormat="false" ht="12.75" hidden="true" customHeight="false" outlineLevel="0" collapsed="false"/>
    <row r="349" customFormat="false" ht="12.75" hidden="true" customHeight="false" outlineLevel="0" collapsed="false"/>
    <row r="350" customFormat="false" ht="12.75" hidden="true" customHeight="false" outlineLevel="0" collapsed="false"/>
    <row r="351" customFormat="false" ht="12.75" hidden="true" customHeight="false" outlineLevel="0" collapsed="false"/>
    <row r="352" customFormat="false" ht="12.75" hidden="true" customHeight="false" outlineLevel="0" collapsed="false"/>
    <row r="353" customFormat="false" ht="12.75" hidden="true" customHeight="false" outlineLevel="0" collapsed="false"/>
    <row r="354" customFormat="false" ht="12.75" hidden="true" customHeight="false" outlineLevel="0" collapsed="false"/>
    <row r="355" customFormat="false" ht="12.75" hidden="true" customHeight="false" outlineLevel="0" collapsed="false"/>
    <row r="356" customFormat="false" ht="12.75" hidden="true" customHeight="false" outlineLevel="0" collapsed="false"/>
    <row r="357" customFormat="false" ht="12.75" hidden="true" customHeight="false" outlineLevel="0" collapsed="false"/>
    <row r="358" customFormat="false" ht="12.75" hidden="true" customHeight="false" outlineLevel="0" collapsed="false"/>
    <row r="359" customFormat="false" ht="12.75" hidden="true" customHeight="false" outlineLevel="0" collapsed="false"/>
    <row r="360" customFormat="false" ht="12.75" hidden="true" customHeight="false" outlineLevel="0" collapsed="false"/>
    <row r="361" customFormat="false" ht="12.75" hidden="true" customHeight="false" outlineLevel="0" collapsed="false"/>
    <row r="362" customFormat="false" ht="12.75" hidden="true" customHeight="false" outlineLevel="0" collapsed="false"/>
    <row r="363" customFormat="false" ht="12.75" hidden="true" customHeight="false" outlineLevel="0" collapsed="false"/>
    <row r="364" customFormat="false" ht="12.75" hidden="true" customHeight="false" outlineLevel="0" collapsed="false"/>
    <row r="365" customFormat="false" ht="12.75" hidden="true" customHeight="false" outlineLevel="0" collapsed="false"/>
    <row r="366" customFormat="false" ht="12.75" hidden="true" customHeight="false" outlineLevel="0" collapsed="false"/>
    <row r="367" customFormat="false" ht="12.75" hidden="true" customHeight="false" outlineLevel="0" collapsed="false"/>
    <row r="368" customFormat="false" ht="12.75" hidden="true" customHeight="false" outlineLevel="0" collapsed="false"/>
    <row r="369" customFormat="false" ht="12.75" hidden="true" customHeight="false" outlineLevel="0" collapsed="false"/>
    <row r="370" customFormat="false" ht="12.75" hidden="true" customHeight="false" outlineLevel="0" collapsed="false"/>
    <row r="371" customFormat="false" ht="12.75" hidden="true" customHeight="false" outlineLevel="0" collapsed="false"/>
    <row r="372" customFormat="false" ht="12.75" hidden="true" customHeight="false" outlineLevel="0" collapsed="false"/>
    <row r="373" customFormat="false" ht="12.75" hidden="true" customHeight="false" outlineLevel="0" collapsed="false"/>
    <row r="374" customFormat="false" ht="12.75" hidden="true" customHeight="false" outlineLevel="0" collapsed="false"/>
    <row r="375" customFormat="false" ht="12.75" hidden="true" customHeight="false" outlineLevel="0" collapsed="false"/>
    <row r="376" customFormat="false" ht="12.75" hidden="true" customHeight="false" outlineLevel="0" collapsed="false"/>
    <row r="377" customFormat="false" ht="12.75" hidden="true" customHeight="false" outlineLevel="0" collapsed="false"/>
    <row r="378" customFormat="false" ht="12.75" hidden="true" customHeight="false" outlineLevel="0" collapsed="false"/>
    <row r="379" customFormat="false" ht="12.75" hidden="true" customHeight="false" outlineLevel="0" collapsed="false"/>
    <row r="380" customFormat="false" ht="12.75" hidden="true" customHeight="false" outlineLevel="0" collapsed="false"/>
    <row r="381" customFormat="false" ht="12.75" hidden="true" customHeight="false" outlineLevel="0" collapsed="false"/>
    <row r="382" customFormat="false" ht="12.75" hidden="true" customHeight="false" outlineLevel="0" collapsed="false"/>
    <row r="383" customFormat="false" ht="12.75" hidden="true" customHeight="false" outlineLevel="0" collapsed="false"/>
    <row r="384" customFormat="false" ht="12.75" hidden="true" customHeight="false" outlineLevel="0" collapsed="false"/>
    <row r="385" customFormat="false" ht="12.75" hidden="true" customHeight="false" outlineLevel="0" collapsed="false"/>
    <row r="386" customFormat="false" ht="12.75" hidden="true" customHeight="false" outlineLevel="0" collapsed="false"/>
    <row r="387" customFormat="false" ht="12.75" hidden="true" customHeight="false" outlineLevel="0" collapsed="false"/>
    <row r="388" customFormat="false" ht="12.75" hidden="true" customHeight="false" outlineLevel="0" collapsed="false"/>
    <row r="389" customFormat="false" ht="12.75" hidden="true" customHeight="false" outlineLevel="0" collapsed="false"/>
    <row r="390" customFormat="false" ht="12.75" hidden="true" customHeight="false" outlineLevel="0" collapsed="false"/>
    <row r="391" customFormat="false" ht="12.75" hidden="true" customHeight="false" outlineLevel="0" collapsed="false"/>
    <row r="392" customFormat="false" ht="12.75" hidden="true" customHeight="false" outlineLevel="0" collapsed="false"/>
    <row r="393" customFormat="false" ht="12.75" hidden="true" customHeight="false" outlineLevel="0" collapsed="false"/>
    <row r="394" customFormat="false" ht="12.75" hidden="true" customHeight="false" outlineLevel="0" collapsed="false"/>
    <row r="395" customFormat="false" ht="12.75" hidden="true" customHeight="false" outlineLevel="0" collapsed="false"/>
    <row r="396" customFormat="false" ht="12.75" hidden="true" customHeight="false" outlineLevel="0" collapsed="false"/>
    <row r="397" customFormat="false" ht="12.75" hidden="true" customHeight="false" outlineLevel="0" collapsed="false"/>
    <row r="398" customFormat="false" ht="12.75" hidden="true" customHeight="false" outlineLevel="0" collapsed="false"/>
    <row r="399" customFormat="false" ht="12.75" hidden="true" customHeight="false" outlineLevel="0" collapsed="false"/>
    <row r="400" customFormat="false" ht="12.75" hidden="true" customHeight="false" outlineLevel="0" collapsed="false"/>
    <row r="401" customFormat="false" ht="12.75" hidden="true" customHeight="false" outlineLevel="0" collapsed="false"/>
    <row r="402" customFormat="false" ht="12.75" hidden="true" customHeight="false" outlineLevel="0" collapsed="false"/>
    <row r="403" customFormat="false" ht="12.75" hidden="true" customHeight="false" outlineLevel="0" collapsed="false"/>
    <row r="404" customFormat="false" ht="12.75" hidden="true" customHeight="false" outlineLevel="0" collapsed="false"/>
    <row r="405" customFormat="false" ht="12.75" hidden="true" customHeight="false" outlineLevel="0" collapsed="false"/>
    <row r="406" customFormat="false" ht="12.75" hidden="true" customHeight="false" outlineLevel="0" collapsed="false"/>
    <row r="407" customFormat="false" ht="12.75" hidden="true" customHeight="false" outlineLevel="0" collapsed="false"/>
    <row r="408" customFormat="false" ht="12.75" hidden="true" customHeight="false" outlineLevel="0" collapsed="false"/>
    <row r="409" customFormat="false" ht="12.75" hidden="true" customHeight="false" outlineLevel="0" collapsed="false"/>
    <row r="410" customFormat="false" ht="12.75" hidden="true" customHeight="false" outlineLevel="0" collapsed="false"/>
    <row r="411" customFormat="false" ht="12.75" hidden="true" customHeight="false" outlineLevel="0" collapsed="false"/>
    <row r="412" customFormat="false" ht="12.75" hidden="true" customHeight="false" outlineLevel="0" collapsed="false"/>
    <row r="413" customFormat="false" ht="12.75" hidden="true" customHeight="false" outlineLevel="0" collapsed="false"/>
    <row r="414" customFormat="false" ht="12.75" hidden="true" customHeight="false" outlineLevel="0" collapsed="false"/>
    <row r="415" customFormat="false" ht="12.75" hidden="true" customHeight="false" outlineLevel="0" collapsed="false"/>
    <row r="416" customFormat="false" ht="12.75" hidden="true" customHeight="false" outlineLevel="0" collapsed="false"/>
    <row r="417" customFormat="false" ht="12.75" hidden="true" customHeight="false" outlineLevel="0" collapsed="false"/>
    <row r="418" customFormat="false" ht="12.75" hidden="true" customHeight="false" outlineLevel="0" collapsed="false"/>
    <row r="419" customFormat="false" ht="12.75" hidden="true" customHeight="false" outlineLevel="0" collapsed="false"/>
    <row r="420" customFormat="false" ht="12.75" hidden="true" customHeight="false" outlineLevel="0" collapsed="false"/>
    <row r="421" customFormat="false" ht="12.75" hidden="true" customHeight="false" outlineLevel="0" collapsed="false"/>
    <row r="422" customFormat="false" ht="12.75" hidden="true" customHeight="false" outlineLevel="0" collapsed="false"/>
    <row r="423" customFormat="false" ht="12.75" hidden="true" customHeight="false" outlineLevel="0" collapsed="false"/>
    <row r="424" customFormat="false" ht="12.75" hidden="true" customHeight="false" outlineLevel="0" collapsed="false"/>
    <row r="425" customFormat="false" ht="12.75" hidden="true" customHeight="false" outlineLevel="0" collapsed="false"/>
    <row r="426" customFormat="false" ht="12.75" hidden="true" customHeight="false" outlineLevel="0" collapsed="false"/>
    <row r="427" customFormat="false" ht="12.75" hidden="true" customHeight="false" outlineLevel="0" collapsed="false"/>
    <row r="428" customFormat="false" ht="12.75" hidden="true" customHeight="false" outlineLevel="0" collapsed="false"/>
    <row r="429" customFormat="false" ht="12.75" hidden="true" customHeight="false" outlineLevel="0" collapsed="false"/>
    <row r="430" customFormat="false" ht="12.75" hidden="true" customHeight="false" outlineLevel="0" collapsed="false"/>
    <row r="431" customFormat="false" ht="12.75" hidden="true" customHeight="false" outlineLevel="0" collapsed="false"/>
    <row r="432" customFormat="false" ht="12.75" hidden="true" customHeight="false" outlineLevel="0" collapsed="false"/>
    <row r="433" customFormat="false" ht="12.75" hidden="true" customHeight="false" outlineLevel="0" collapsed="false"/>
    <row r="434" customFormat="false" ht="12.75" hidden="true" customHeight="false" outlineLevel="0" collapsed="false"/>
    <row r="435" customFormat="false" ht="12.75" hidden="true" customHeight="false" outlineLevel="0" collapsed="false"/>
    <row r="436" customFormat="false" ht="12.75" hidden="true" customHeight="false" outlineLevel="0" collapsed="false"/>
    <row r="437" customFormat="false" ht="12.75" hidden="true" customHeight="false" outlineLevel="0" collapsed="false"/>
    <row r="438" customFormat="false" ht="12.75" hidden="true" customHeight="false" outlineLevel="0" collapsed="false"/>
    <row r="439" customFormat="false" ht="12.75" hidden="true" customHeight="false" outlineLevel="0" collapsed="false"/>
    <row r="440" customFormat="false" ht="12.75" hidden="true" customHeight="false" outlineLevel="0" collapsed="false"/>
    <row r="441" customFormat="false" ht="12.75" hidden="true" customHeight="false" outlineLevel="0" collapsed="false"/>
    <row r="442" customFormat="false" ht="12.75" hidden="true" customHeight="false" outlineLevel="0" collapsed="false"/>
    <row r="443" customFormat="false" ht="12.75" hidden="true" customHeight="false" outlineLevel="0" collapsed="false"/>
    <row r="444" customFormat="false" ht="12.75" hidden="true" customHeight="false" outlineLevel="0" collapsed="false"/>
    <row r="445" customFormat="false" ht="12.75" hidden="true" customHeight="false" outlineLevel="0" collapsed="false"/>
    <row r="446" customFormat="false" ht="12.75" hidden="true" customHeight="false" outlineLevel="0" collapsed="false"/>
    <row r="447" customFormat="false" ht="12.75" hidden="true" customHeight="false" outlineLevel="0" collapsed="false"/>
    <row r="448" customFormat="false" ht="12.75" hidden="true" customHeight="false" outlineLevel="0" collapsed="false"/>
    <row r="449" customFormat="false" ht="12.75" hidden="true" customHeight="false" outlineLevel="0" collapsed="false"/>
    <row r="450" customFormat="false" ht="12.75" hidden="true" customHeight="false" outlineLevel="0" collapsed="false"/>
    <row r="451" customFormat="false" ht="12.75" hidden="true" customHeight="false" outlineLevel="0" collapsed="false"/>
    <row r="452" customFormat="false" ht="12.75" hidden="true" customHeight="false" outlineLevel="0" collapsed="false"/>
    <row r="453" customFormat="false" ht="12.75" hidden="true" customHeight="false" outlineLevel="0" collapsed="false"/>
    <row r="454" customFormat="false" ht="12.75" hidden="true" customHeight="false" outlineLevel="0" collapsed="false"/>
    <row r="455" customFormat="false" ht="12.75" hidden="true" customHeight="false" outlineLevel="0" collapsed="false"/>
    <row r="456" customFormat="false" ht="12.75" hidden="true" customHeight="false" outlineLevel="0" collapsed="false"/>
    <row r="457" customFormat="false" ht="12.75" hidden="true" customHeight="false" outlineLevel="0" collapsed="false"/>
    <row r="458" customFormat="false" ht="12.75" hidden="true" customHeight="false" outlineLevel="0" collapsed="false"/>
    <row r="459" customFormat="false" ht="12.75" hidden="true" customHeight="false" outlineLevel="0" collapsed="false"/>
    <row r="460" customFormat="false" ht="12.75" hidden="true" customHeight="false" outlineLevel="0" collapsed="false"/>
    <row r="461" customFormat="false" ht="12.75" hidden="true" customHeight="false" outlineLevel="0" collapsed="false"/>
    <row r="462" customFormat="false" ht="12.75" hidden="true" customHeight="false" outlineLevel="0" collapsed="false"/>
    <row r="463" customFormat="false" ht="12.75" hidden="true" customHeight="false" outlineLevel="0" collapsed="false"/>
    <row r="464" customFormat="false" ht="12.75" hidden="true" customHeight="false" outlineLevel="0" collapsed="false"/>
    <row r="465" customFormat="false" ht="12.75" hidden="true" customHeight="false" outlineLevel="0" collapsed="false"/>
    <row r="466" customFormat="false" ht="12.75" hidden="true" customHeight="false" outlineLevel="0" collapsed="false"/>
    <row r="467" customFormat="false" ht="12.75" hidden="true" customHeight="false" outlineLevel="0" collapsed="false"/>
    <row r="468" customFormat="false" ht="12.75" hidden="true" customHeight="false" outlineLevel="0" collapsed="false"/>
    <row r="469" customFormat="false" ht="12.75" hidden="true" customHeight="false" outlineLevel="0" collapsed="false"/>
    <row r="470" customFormat="false" ht="12.75" hidden="true" customHeight="false" outlineLevel="0" collapsed="false"/>
    <row r="471" customFormat="false" ht="12.75" hidden="true" customHeight="false" outlineLevel="0" collapsed="false"/>
    <row r="472" customFormat="false" ht="12.75" hidden="true" customHeight="false" outlineLevel="0" collapsed="false"/>
    <row r="473" customFormat="false" ht="12.75" hidden="true" customHeight="false" outlineLevel="0" collapsed="false"/>
    <row r="474" customFormat="false" ht="12.75" hidden="true" customHeight="false" outlineLevel="0" collapsed="false"/>
    <row r="475" customFormat="false" ht="12.75" hidden="true" customHeight="false" outlineLevel="0" collapsed="false"/>
    <row r="476" customFormat="false" ht="12.75" hidden="true" customHeight="false" outlineLevel="0" collapsed="false"/>
    <row r="477" customFormat="false" ht="12.75" hidden="true" customHeight="false" outlineLevel="0" collapsed="false"/>
    <row r="478" customFormat="false" ht="12.75" hidden="true" customHeight="false" outlineLevel="0" collapsed="false"/>
    <row r="479" customFormat="false" ht="12.75" hidden="true" customHeight="false" outlineLevel="0" collapsed="false"/>
    <row r="480" customFormat="false" ht="12.75" hidden="true" customHeight="false" outlineLevel="0" collapsed="false"/>
    <row r="481" customFormat="false" ht="12.75" hidden="true" customHeight="false" outlineLevel="0" collapsed="false"/>
    <row r="482" customFormat="false" ht="12.75" hidden="true" customHeight="false" outlineLevel="0" collapsed="false"/>
    <row r="483" customFormat="false" ht="12.75" hidden="true" customHeight="false" outlineLevel="0" collapsed="false"/>
    <row r="484" customFormat="false" ht="12.75" hidden="true" customHeight="false" outlineLevel="0" collapsed="false"/>
    <row r="485" customFormat="false" ht="12.75" hidden="true" customHeight="false" outlineLevel="0" collapsed="false"/>
    <row r="486" customFormat="false" ht="12.75" hidden="true" customHeight="false" outlineLevel="0" collapsed="false"/>
    <row r="487" customFormat="false" ht="12.75" hidden="true" customHeight="false" outlineLevel="0" collapsed="false"/>
    <row r="488" customFormat="false" ht="12.75" hidden="true" customHeight="false" outlineLevel="0" collapsed="false"/>
    <row r="489" customFormat="false" ht="12.75" hidden="true" customHeight="false" outlineLevel="0" collapsed="false"/>
    <row r="490" customFormat="false" ht="12.75" hidden="true" customHeight="false" outlineLevel="0" collapsed="false"/>
    <row r="491" customFormat="false" ht="12.75" hidden="true" customHeight="false" outlineLevel="0" collapsed="false"/>
    <row r="492" customFormat="false" ht="12.75" hidden="true" customHeight="false" outlineLevel="0" collapsed="false"/>
    <row r="493" customFormat="false" ht="12.75" hidden="true" customHeight="false" outlineLevel="0" collapsed="false"/>
    <row r="494" customFormat="false" ht="12.75" hidden="true" customHeight="false" outlineLevel="0" collapsed="false"/>
    <row r="495" customFormat="false" ht="12.75" hidden="true" customHeight="false" outlineLevel="0" collapsed="false"/>
    <row r="496" customFormat="false" ht="12.75" hidden="true" customHeight="false" outlineLevel="0" collapsed="false"/>
    <row r="497" customFormat="false" ht="12.75" hidden="true" customHeight="false" outlineLevel="0" collapsed="false"/>
    <row r="498" customFormat="false" ht="12.75" hidden="true" customHeight="false" outlineLevel="0" collapsed="false"/>
    <row r="499" customFormat="false" ht="12.75" hidden="true" customHeight="false" outlineLevel="0" collapsed="false"/>
    <row r="500" customFormat="false" ht="12.75" hidden="true" customHeight="false" outlineLevel="0" collapsed="false"/>
    <row r="501" customFormat="false" ht="12.75" hidden="true" customHeight="false" outlineLevel="0" collapsed="false"/>
    <row r="502" customFormat="false" ht="12.75" hidden="true" customHeight="false" outlineLevel="0" collapsed="false"/>
    <row r="503" customFormat="false" ht="12.75" hidden="true" customHeight="false" outlineLevel="0" collapsed="false"/>
    <row r="504" customFormat="false" ht="12.75" hidden="true" customHeight="false" outlineLevel="0" collapsed="false"/>
    <row r="505" customFormat="false" ht="12.75" hidden="true" customHeight="false" outlineLevel="0" collapsed="false"/>
    <row r="506" customFormat="false" ht="12.75" hidden="true" customHeight="false" outlineLevel="0" collapsed="false"/>
    <row r="507" customFormat="false" ht="12.75" hidden="true" customHeight="false" outlineLevel="0" collapsed="false"/>
    <row r="508" customFormat="false" ht="12.75" hidden="true" customHeight="false" outlineLevel="0" collapsed="false"/>
    <row r="509" customFormat="false" ht="12.75" hidden="true" customHeight="false" outlineLevel="0" collapsed="false"/>
    <row r="510" customFormat="false" ht="12.75" hidden="true" customHeight="false" outlineLevel="0" collapsed="false"/>
    <row r="511" customFormat="false" ht="12.75" hidden="true" customHeight="false" outlineLevel="0" collapsed="false"/>
    <row r="512" customFormat="false" ht="12.75" hidden="true" customHeight="false" outlineLevel="0" collapsed="false"/>
    <row r="513" customFormat="false" ht="12.75" hidden="true" customHeight="false" outlineLevel="0" collapsed="false"/>
    <row r="514" customFormat="false" ht="12.75" hidden="true" customHeight="false" outlineLevel="0" collapsed="false"/>
    <row r="515" customFormat="false" ht="12.75" hidden="true" customHeight="false" outlineLevel="0" collapsed="false"/>
    <row r="516" customFormat="false" ht="12.75" hidden="true" customHeight="false" outlineLevel="0" collapsed="false"/>
    <row r="517" customFormat="false" ht="12.75" hidden="true" customHeight="false" outlineLevel="0" collapsed="false"/>
    <row r="518" customFormat="false" ht="12.75" hidden="true" customHeight="false" outlineLevel="0" collapsed="false"/>
    <row r="519" customFormat="false" ht="12.75" hidden="true" customHeight="false" outlineLevel="0" collapsed="false"/>
    <row r="520" customFormat="false" ht="12.75" hidden="true" customHeight="false" outlineLevel="0" collapsed="false"/>
    <row r="521" customFormat="false" ht="12.75" hidden="true" customHeight="false" outlineLevel="0" collapsed="false"/>
    <row r="522" customFormat="false" ht="12.75" hidden="true" customHeight="false" outlineLevel="0" collapsed="false"/>
    <row r="523" customFormat="false" ht="12.75" hidden="true" customHeight="false" outlineLevel="0" collapsed="false"/>
    <row r="524" customFormat="false" ht="12.75" hidden="true" customHeight="false" outlineLevel="0" collapsed="false"/>
    <row r="525" customFormat="false" ht="12.75" hidden="true" customHeight="false" outlineLevel="0" collapsed="false"/>
    <row r="526" customFormat="false" ht="12.75" hidden="true" customHeight="false" outlineLevel="0" collapsed="false"/>
    <row r="527" customFormat="false" ht="12.75" hidden="true" customHeight="false" outlineLevel="0" collapsed="false"/>
    <row r="528" customFormat="false" ht="12.75" hidden="true" customHeight="false" outlineLevel="0" collapsed="false"/>
    <row r="529" customFormat="false" ht="12.75" hidden="true" customHeight="false" outlineLevel="0" collapsed="false"/>
    <row r="530" customFormat="false" ht="12.75" hidden="true" customHeight="false" outlineLevel="0" collapsed="false"/>
    <row r="531" customFormat="false" ht="12.75" hidden="true" customHeight="false" outlineLevel="0" collapsed="false"/>
    <row r="532" customFormat="false" ht="12.75" hidden="true" customHeight="false" outlineLevel="0" collapsed="false"/>
    <row r="533" customFormat="false" ht="12.75" hidden="true" customHeight="false" outlineLevel="0" collapsed="false"/>
    <row r="534" customFormat="false" ht="12.75" hidden="true" customHeight="false" outlineLevel="0" collapsed="false"/>
    <row r="535" customFormat="false" ht="12.75" hidden="true" customHeight="false" outlineLevel="0" collapsed="false"/>
    <row r="536" customFormat="false" ht="12.75" hidden="true" customHeight="false" outlineLevel="0" collapsed="false"/>
    <row r="537" customFormat="false" ht="12.75" hidden="true" customHeight="false" outlineLevel="0" collapsed="false"/>
    <row r="538" customFormat="false" ht="12.75" hidden="true" customHeight="false" outlineLevel="0" collapsed="false"/>
    <row r="539" customFormat="false" ht="12.75" hidden="true" customHeight="false" outlineLevel="0" collapsed="false"/>
    <row r="540" customFormat="false" ht="12.75" hidden="true" customHeight="false" outlineLevel="0" collapsed="false"/>
    <row r="541" customFormat="false" ht="12.75" hidden="true" customHeight="false" outlineLevel="0" collapsed="false"/>
    <row r="542" customFormat="false" ht="12.75" hidden="true" customHeight="false" outlineLevel="0" collapsed="false"/>
    <row r="543" customFormat="false" ht="12.75" hidden="true" customHeight="false" outlineLevel="0" collapsed="false"/>
    <row r="544" customFormat="false" ht="12.75" hidden="true" customHeight="false" outlineLevel="0" collapsed="false"/>
    <row r="545" customFormat="false" ht="12.75" hidden="true" customHeight="false" outlineLevel="0" collapsed="false"/>
    <row r="546" customFormat="false" ht="12.75" hidden="true" customHeight="false" outlineLevel="0" collapsed="false"/>
    <row r="547" customFormat="false" ht="12.75" hidden="true" customHeight="false" outlineLevel="0" collapsed="false"/>
    <row r="548" customFormat="false" ht="12.75" hidden="true" customHeight="false" outlineLevel="0" collapsed="false"/>
    <row r="549" customFormat="false" ht="12.75" hidden="true" customHeight="false" outlineLevel="0" collapsed="false"/>
    <row r="550" customFormat="false" ht="12.75" hidden="true" customHeight="false" outlineLevel="0" collapsed="false"/>
    <row r="551" customFormat="false" ht="12.75" hidden="true" customHeight="false" outlineLevel="0" collapsed="false"/>
    <row r="552" customFormat="false" ht="12.75" hidden="true" customHeight="false" outlineLevel="0" collapsed="false"/>
    <row r="553" customFormat="false" ht="12.75" hidden="true" customHeight="false" outlineLevel="0" collapsed="false"/>
    <row r="554" customFormat="false" ht="12.75" hidden="true" customHeight="false" outlineLevel="0" collapsed="false"/>
    <row r="555" customFormat="false" ht="12.75" hidden="true" customHeight="false" outlineLevel="0" collapsed="false"/>
    <row r="556" customFormat="false" ht="12.75" hidden="true" customHeight="false" outlineLevel="0" collapsed="false"/>
    <row r="557" customFormat="false" ht="12.75" hidden="true" customHeight="false" outlineLevel="0" collapsed="false"/>
    <row r="558" customFormat="false" ht="12.75" hidden="true" customHeight="false" outlineLevel="0" collapsed="false"/>
    <row r="559" customFormat="false" ht="12.75" hidden="true" customHeight="false" outlineLevel="0" collapsed="false"/>
    <row r="560" customFormat="false" ht="12.75" hidden="true" customHeight="false" outlineLevel="0" collapsed="false"/>
    <row r="561" customFormat="false" ht="12.75" hidden="true" customHeight="false" outlineLevel="0" collapsed="false"/>
    <row r="562" customFormat="false" ht="12.75" hidden="true" customHeight="false" outlineLevel="0" collapsed="false"/>
    <row r="563" customFormat="false" ht="12.75" hidden="true" customHeight="false" outlineLevel="0" collapsed="false"/>
    <row r="564" customFormat="false" ht="12.75" hidden="true" customHeight="false" outlineLevel="0" collapsed="false"/>
    <row r="565" customFormat="false" ht="12.75" hidden="true" customHeight="false" outlineLevel="0" collapsed="false"/>
    <row r="566" customFormat="false" ht="12.75" hidden="true" customHeight="false" outlineLevel="0" collapsed="false"/>
    <row r="567" customFormat="false" ht="12.75" hidden="true" customHeight="false" outlineLevel="0" collapsed="false"/>
    <row r="568" customFormat="false" ht="12.75" hidden="true" customHeight="false" outlineLevel="0" collapsed="false"/>
    <row r="569" customFormat="false" ht="12.75" hidden="true" customHeight="false" outlineLevel="0" collapsed="false"/>
    <row r="570" customFormat="false" ht="12.75" hidden="true" customHeight="false" outlineLevel="0" collapsed="false"/>
    <row r="571" customFormat="false" ht="12.75" hidden="true" customHeight="false" outlineLevel="0" collapsed="false"/>
    <row r="572" customFormat="false" ht="12.75" hidden="true" customHeight="false" outlineLevel="0" collapsed="false"/>
    <row r="573" customFormat="false" ht="12.75" hidden="true" customHeight="false" outlineLevel="0" collapsed="false"/>
    <row r="574" customFormat="false" ht="12.75" hidden="true" customHeight="false" outlineLevel="0" collapsed="false"/>
    <row r="575" customFormat="false" ht="12.75" hidden="true" customHeight="false" outlineLevel="0" collapsed="false"/>
    <row r="576" customFormat="false" ht="12.75" hidden="true" customHeight="false" outlineLevel="0" collapsed="false"/>
    <row r="577" customFormat="false" ht="12.75" hidden="true" customHeight="false" outlineLevel="0" collapsed="false"/>
    <row r="578" customFormat="false" ht="12.75" hidden="true" customHeight="false" outlineLevel="0" collapsed="false"/>
    <row r="579" customFormat="false" ht="12.75" hidden="true" customHeight="false" outlineLevel="0" collapsed="false"/>
    <row r="580" customFormat="false" ht="12.75" hidden="true" customHeight="false" outlineLevel="0" collapsed="false"/>
    <row r="581" customFormat="false" ht="12.75" hidden="true" customHeight="false" outlineLevel="0" collapsed="false"/>
    <row r="582" customFormat="false" ht="12.75" hidden="true" customHeight="false" outlineLevel="0" collapsed="false"/>
    <row r="583" customFormat="false" ht="12.75" hidden="true" customHeight="false" outlineLevel="0" collapsed="false"/>
    <row r="584" customFormat="false" ht="12.75" hidden="true" customHeight="false" outlineLevel="0" collapsed="false"/>
    <row r="585" customFormat="false" ht="12.75" hidden="true" customHeight="false" outlineLevel="0" collapsed="false"/>
    <row r="586" customFormat="false" ht="12.75" hidden="true" customHeight="false" outlineLevel="0" collapsed="false"/>
    <row r="587" customFormat="false" ht="12.75" hidden="true" customHeight="false" outlineLevel="0" collapsed="false"/>
    <row r="588" customFormat="false" ht="12.75" hidden="true" customHeight="false" outlineLevel="0" collapsed="false"/>
    <row r="589" customFormat="false" ht="12.75" hidden="true" customHeight="false" outlineLevel="0" collapsed="false"/>
    <row r="590" customFormat="false" ht="12.75" hidden="true" customHeight="false" outlineLevel="0" collapsed="false"/>
    <row r="591" customFormat="false" ht="12.75" hidden="true" customHeight="false" outlineLevel="0" collapsed="false"/>
    <row r="592" customFormat="false" ht="12.75" hidden="true" customHeight="false" outlineLevel="0" collapsed="false"/>
    <row r="593" customFormat="false" ht="12.75" hidden="true" customHeight="false" outlineLevel="0" collapsed="false"/>
    <row r="594" customFormat="false" ht="12.75" hidden="true" customHeight="false" outlineLevel="0" collapsed="false"/>
    <row r="595" customFormat="false" ht="12.75" hidden="true" customHeight="false" outlineLevel="0" collapsed="false"/>
    <row r="596" customFormat="false" ht="12.75" hidden="true" customHeight="false" outlineLevel="0" collapsed="false"/>
    <row r="597" customFormat="false" ht="12.75" hidden="true" customHeight="false" outlineLevel="0" collapsed="false"/>
    <row r="598" customFormat="false" ht="12.75" hidden="true" customHeight="false" outlineLevel="0" collapsed="false"/>
    <row r="599" customFormat="false" ht="12.75" hidden="true" customHeight="false" outlineLevel="0" collapsed="false"/>
    <row r="600" customFormat="false" ht="12.75" hidden="true" customHeight="false" outlineLevel="0" collapsed="false"/>
    <row r="601" customFormat="false" ht="12.75" hidden="true" customHeight="false" outlineLevel="0" collapsed="false"/>
    <row r="602" customFormat="false" ht="12.75" hidden="true" customHeight="false" outlineLevel="0" collapsed="false"/>
    <row r="603" customFormat="false" ht="12.75" hidden="true" customHeight="false" outlineLevel="0" collapsed="false"/>
    <row r="604" customFormat="false" ht="12.75" hidden="true" customHeight="false" outlineLevel="0" collapsed="false"/>
    <row r="605" customFormat="false" ht="12.75" hidden="true" customHeight="false" outlineLevel="0" collapsed="false"/>
    <row r="606" customFormat="false" ht="12.75" hidden="true" customHeight="false" outlineLevel="0" collapsed="false"/>
    <row r="607" customFormat="false" ht="12.75" hidden="true" customHeight="false" outlineLevel="0" collapsed="false"/>
    <row r="608" customFormat="false" ht="12.75" hidden="true" customHeight="false" outlineLevel="0" collapsed="false"/>
    <row r="609" customFormat="false" ht="12.75" hidden="true" customHeight="false" outlineLevel="0" collapsed="false"/>
    <row r="610" customFormat="false" ht="12.75" hidden="true" customHeight="false" outlineLevel="0" collapsed="false"/>
    <row r="611" customFormat="false" ht="12.75" hidden="true" customHeight="false" outlineLevel="0" collapsed="false"/>
    <row r="612" customFormat="false" ht="12.75" hidden="true" customHeight="false" outlineLevel="0" collapsed="false"/>
    <row r="613" customFormat="false" ht="12.75" hidden="true" customHeight="false" outlineLevel="0" collapsed="false"/>
    <row r="614" customFormat="false" ht="12.75" hidden="true" customHeight="false" outlineLevel="0" collapsed="false"/>
    <row r="615" customFormat="false" ht="12.75" hidden="true" customHeight="false" outlineLevel="0" collapsed="false"/>
    <row r="616" customFormat="false" ht="12.75" hidden="true" customHeight="false" outlineLevel="0" collapsed="false"/>
    <row r="617" customFormat="false" ht="12.75" hidden="true" customHeight="false" outlineLevel="0" collapsed="false"/>
    <row r="618" customFormat="false" ht="12.75" hidden="true" customHeight="false" outlineLevel="0" collapsed="false"/>
    <row r="619" customFormat="false" ht="12.75" hidden="true" customHeight="false" outlineLevel="0" collapsed="false"/>
    <row r="620" customFormat="false" ht="12.75" hidden="true" customHeight="false" outlineLevel="0" collapsed="false"/>
    <row r="621" customFormat="false" ht="12.75" hidden="true" customHeight="false" outlineLevel="0" collapsed="false"/>
    <row r="622" customFormat="false" ht="12.75" hidden="true" customHeight="false" outlineLevel="0" collapsed="false"/>
    <row r="623" customFormat="false" ht="12.75" hidden="true" customHeight="false" outlineLevel="0" collapsed="false"/>
    <row r="624" customFormat="false" ht="12.75" hidden="true" customHeight="false" outlineLevel="0" collapsed="false"/>
    <row r="625" customFormat="false" ht="12.75" hidden="true" customHeight="false" outlineLevel="0" collapsed="false"/>
    <row r="626" customFormat="false" ht="12.75" hidden="true" customHeight="false" outlineLevel="0" collapsed="false"/>
    <row r="627" customFormat="false" ht="12.75" hidden="true" customHeight="false" outlineLevel="0" collapsed="false"/>
    <row r="628" customFormat="false" ht="12.75" hidden="true" customHeight="false" outlineLevel="0" collapsed="false"/>
    <row r="629" customFormat="false" ht="12.75" hidden="true" customHeight="false" outlineLevel="0" collapsed="false"/>
    <row r="630" customFormat="false" ht="12.75" hidden="true" customHeight="false" outlineLevel="0" collapsed="false"/>
    <row r="631" customFormat="false" ht="12.75" hidden="true" customHeight="false" outlineLevel="0" collapsed="false"/>
    <row r="632" customFormat="false" ht="12.75" hidden="true" customHeight="false" outlineLevel="0" collapsed="false"/>
    <row r="633" customFormat="false" ht="12.75" hidden="true" customHeight="false" outlineLevel="0" collapsed="false"/>
    <row r="634" customFormat="false" ht="12.75" hidden="true" customHeight="false" outlineLevel="0" collapsed="false"/>
    <row r="635" customFormat="false" ht="12.75" hidden="true" customHeight="false" outlineLevel="0" collapsed="false"/>
    <row r="636" customFormat="false" ht="12.75" hidden="true" customHeight="false" outlineLevel="0" collapsed="false"/>
    <row r="637" customFormat="false" ht="12.75" hidden="true" customHeight="false" outlineLevel="0" collapsed="false"/>
    <row r="638" customFormat="false" ht="12.75" hidden="true" customHeight="false" outlineLevel="0" collapsed="false"/>
    <row r="639" customFormat="false" ht="12.75" hidden="true" customHeight="false" outlineLevel="0" collapsed="false"/>
    <row r="640" customFormat="false" ht="12.75" hidden="true" customHeight="false" outlineLevel="0" collapsed="false"/>
    <row r="641" customFormat="false" ht="12.75" hidden="true" customHeight="false" outlineLevel="0" collapsed="false"/>
    <row r="642" customFormat="false" ht="12.75" hidden="true" customHeight="false" outlineLevel="0" collapsed="false"/>
    <row r="643" customFormat="false" ht="12.75" hidden="true" customHeight="false" outlineLevel="0" collapsed="false"/>
    <row r="644" customFormat="false" ht="12.75" hidden="true" customHeight="false" outlineLevel="0" collapsed="false"/>
    <row r="645" customFormat="false" ht="12.75" hidden="true" customHeight="false" outlineLevel="0" collapsed="false"/>
    <row r="646" customFormat="false" ht="12.75" hidden="true" customHeight="false" outlineLevel="0" collapsed="false"/>
    <row r="647" customFormat="false" ht="12.75" hidden="true" customHeight="false" outlineLevel="0" collapsed="false"/>
    <row r="648" customFormat="false" ht="12.75" hidden="true" customHeight="false" outlineLevel="0" collapsed="false"/>
    <row r="649" customFormat="false" ht="12.75" hidden="true" customHeight="false" outlineLevel="0" collapsed="false"/>
    <row r="650" customFormat="false" ht="12.75" hidden="true" customHeight="false" outlineLevel="0" collapsed="false"/>
    <row r="651" customFormat="false" ht="12.75" hidden="true" customHeight="false" outlineLevel="0" collapsed="false"/>
    <row r="652" customFormat="false" ht="12.75" hidden="true" customHeight="false" outlineLevel="0" collapsed="false"/>
    <row r="653" customFormat="false" ht="12.75" hidden="true" customHeight="false" outlineLevel="0" collapsed="false"/>
    <row r="654" customFormat="false" ht="12.75" hidden="true" customHeight="false" outlineLevel="0" collapsed="false"/>
    <row r="655" customFormat="false" ht="12.75" hidden="true" customHeight="false" outlineLevel="0" collapsed="false"/>
    <row r="656" customFormat="false" ht="12.75" hidden="true" customHeight="false" outlineLevel="0" collapsed="false"/>
    <row r="657" customFormat="false" ht="12.75" hidden="true" customHeight="false" outlineLevel="0" collapsed="false"/>
    <row r="658" customFormat="false" ht="12.75" hidden="true" customHeight="false" outlineLevel="0" collapsed="false"/>
    <row r="659" customFormat="false" ht="12.75" hidden="true" customHeight="false" outlineLevel="0" collapsed="false"/>
    <row r="660" customFormat="false" ht="12.75" hidden="true" customHeight="false" outlineLevel="0" collapsed="false"/>
    <row r="661" customFormat="false" ht="12.75" hidden="true" customHeight="false" outlineLevel="0" collapsed="false"/>
    <row r="662" customFormat="false" ht="12.75" hidden="true" customHeight="false" outlineLevel="0" collapsed="false"/>
    <row r="663" customFormat="false" ht="12.75" hidden="true" customHeight="false" outlineLevel="0" collapsed="false"/>
    <row r="664" customFormat="false" ht="12.75" hidden="true" customHeight="false" outlineLevel="0" collapsed="false"/>
    <row r="665" customFormat="false" ht="12.75" hidden="true" customHeight="false" outlineLevel="0" collapsed="false"/>
    <row r="666" customFormat="false" ht="12.75" hidden="true" customHeight="false" outlineLevel="0" collapsed="false"/>
    <row r="667" customFormat="false" ht="12.75" hidden="true" customHeight="false" outlineLevel="0" collapsed="false"/>
    <row r="668" customFormat="false" ht="12.75" hidden="true" customHeight="false" outlineLevel="0" collapsed="false"/>
    <row r="669" customFormat="false" ht="12.75" hidden="true" customHeight="false" outlineLevel="0" collapsed="false"/>
    <row r="670" customFormat="false" ht="12.75" hidden="true" customHeight="false" outlineLevel="0" collapsed="false"/>
    <row r="671" customFormat="false" ht="12.75" hidden="true" customHeight="false" outlineLevel="0" collapsed="false"/>
    <row r="672" customFormat="false" ht="12.75" hidden="true" customHeight="false" outlineLevel="0" collapsed="false"/>
    <row r="673" customFormat="false" ht="12.75" hidden="true" customHeight="false" outlineLevel="0" collapsed="false"/>
    <row r="674" customFormat="false" ht="12.75" hidden="true" customHeight="false" outlineLevel="0" collapsed="false"/>
    <row r="675" customFormat="false" ht="12.75" hidden="true" customHeight="false" outlineLevel="0" collapsed="false"/>
    <row r="676" customFormat="false" ht="12.75" hidden="true" customHeight="false" outlineLevel="0" collapsed="false"/>
    <row r="677" customFormat="false" ht="12.75" hidden="true" customHeight="false" outlineLevel="0" collapsed="false"/>
    <row r="678" customFormat="false" ht="12.75" hidden="true" customHeight="false" outlineLevel="0" collapsed="false"/>
    <row r="679" customFormat="false" ht="12.75" hidden="true" customHeight="false" outlineLevel="0" collapsed="false"/>
    <row r="680" customFormat="false" ht="12.75" hidden="true" customHeight="false" outlineLevel="0" collapsed="false"/>
    <row r="681" customFormat="false" ht="12.75" hidden="true" customHeight="false" outlineLevel="0" collapsed="false"/>
    <row r="682" customFormat="false" ht="12.75" hidden="true" customHeight="false" outlineLevel="0" collapsed="false"/>
    <row r="683" customFormat="false" ht="12.75" hidden="true" customHeight="false" outlineLevel="0" collapsed="false"/>
    <row r="684" customFormat="false" ht="12.75" hidden="true" customHeight="false" outlineLevel="0" collapsed="false"/>
    <row r="685" customFormat="false" ht="12.75" hidden="true" customHeight="false" outlineLevel="0" collapsed="false"/>
    <row r="686" customFormat="false" ht="12.75" hidden="true" customHeight="false" outlineLevel="0" collapsed="false"/>
    <row r="687" customFormat="false" ht="12.75" hidden="true" customHeight="false" outlineLevel="0" collapsed="false"/>
    <row r="688" customFormat="false" ht="12.75" hidden="true" customHeight="false" outlineLevel="0" collapsed="false"/>
    <row r="689" customFormat="false" ht="12.75" hidden="true" customHeight="false" outlineLevel="0" collapsed="false"/>
    <row r="690" customFormat="false" ht="12.75" hidden="true" customHeight="false" outlineLevel="0" collapsed="false"/>
    <row r="691" customFormat="false" ht="12.75" hidden="true" customHeight="false" outlineLevel="0" collapsed="false"/>
    <row r="692" customFormat="false" ht="12.75" hidden="true" customHeight="false" outlineLevel="0" collapsed="false"/>
    <row r="693" customFormat="false" ht="12.75" hidden="true" customHeight="false" outlineLevel="0" collapsed="false"/>
    <row r="694" customFormat="false" ht="12.75" hidden="true" customHeight="false" outlineLevel="0" collapsed="false"/>
    <row r="695" customFormat="false" ht="12.75" hidden="true" customHeight="false" outlineLevel="0" collapsed="false"/>
    <row r="696" customFormat="false" ht="12.75" hidden="true" customHeight="false" outlineLevel="0" collapsed="false"/>
    <row r="697" customFormat="false" ht="12.75" hidden="true" customHeight="false" outlineLevel="0" collapsed="false"/>
    <row r="698" customFormat="false" ht="12.75" hidden="true" customHeight="false" outlineLevel="0" collapsed="false"/>
    <row r="699" customFormat="false" ht="12.75" hidden="true" customHeight="false" outlineLevel="0" collapsed="false"/>
    <row r="700" customFormat="false" ht="12.75" hidden="true" customHeight="false" outlineLevel="0" collapsed="false"/>
    <row r="701" customFormat="false" ht="12.75" hidden="true" customHeight="false" outlineLevel="0" collapsed="false"/>
    <row r="702" customFormat="false" ht="12.75" hidden="true" customHeight="false" outlineLevel="0" collapsed="false"/>
    <row r="703" customFormat="false" ht="12.75" hidden="true" customHeight="false" outlineLevel="0" collapsed="false"/>
    <row r="704" customFormat="false" ht="12.75" hidden="true" customHeight="false" outlineLevel="0" collapsed="false"/>
    <row r="705" customFormat="false" ht="12.75" hidden="true" customHeight="false" outlineLevel="0" collapsed="false"/>
    <row r="706" customFormat="false" ht="12.75" hidden="true" customHeight="false" outlineLevel="0" collapsed="false"/>
    <row r="707" customFormat="false" ht="12.75" hidden="true" customHeight="false" outlineLevel="0" collapsed="false"/>
    <row r="708" customFormat="false" ht="12.75" hidden="true" customHeight="false" outlineLevel="0" collapsed="false"/>
    <row r="709" customFormat="false" ht="12.75" hidden="true" customHeight="false" outlineLevel="0" collapsed="false"/>
    <row r="710" customFormat="false" ht="12.75" hidden="true" customHeight="false" outlineLevel="0" collapsed="false"/>
    <row r="711" customFormat="false" ht="12.75" hidden="true" customHeight="false" outlineLevel="0" collapsed="false"/>
    <row r="712" customFormat="false" ht="12.75" hidden="true" customHeight="false" outlineLevel="0" collapsed="false"/>
    <row r="713" customFormat="false" ht="12.75" hidden="true" customHeight="false" outlineLevel="0" collapsed="false"/>
    <row r="714" customFormat="false" ht="12.75" hidden="true" customHeight="false" outlineLevel="0" collapsed="false"/>
    <row r="715" customFormat="false" ht="12.75" hidden="true" customHeight="false" outlineLevel="0" collapsed="false"/>
    <row r="716" customFormat="false" ht="12.75" hidden="true" customHeight="false" outlineLevel="0" collapsed="false"/>
    <row r="717" customFormat="false" ht="12.75" hidden="true" customHeight="false" outlineLevel="0" collapsed="false"/>
    <row r="718" customFormat="false" ht="12.75" hidden="true" customHeight="false" outlineLevel="0" collapsed="false"/>
    <row r="719" customFormat="false" ht="12.75" hidden="true" customHeight="false" outlineLevel="0" collapsed="false"/>
    <row r="720" customFormat="false" ht="12.75" hidden="true" customHeight="false" outlineLevel="0" collapsed="false"/>
    <row r="721" customFormat="false" ht="12.75" hidden="true" customHeight="false" outlineLevel="0" collapsed="false"/>
    <row r="722" customFormat="false" ht="12.75" hidden="true" customHeight="false" outlineLevel="0" collapsed="false"/>
    <row r="723" customFormat="false" ht="12.75" hidden="true" customHeight="false" outlineLevel="0" collapsed="false"/>
    <row r="724" customFormat="false" ht="12.75" hidden="true" customHeight="false" outlineLevel="0" collapsed="false"/>
    <row r="725" customFormat="false" ht="12.75" hidden="true" customHeight="false" outlineLevel="0" collapsed="false"/>
    <row r="726" customFormat="false" ht="12.75" hidden="true" customHeight="false" outlineLevel="0" collapsed="false"/>
    <row r="727" customFormat="false" ht="12.75" hidden="true" customHeight="false" outlineLevel="0" collapsed="false"/>
    <row r="728" customFormat="false" ht="12.75" hidden="true" customHeight="false" outlineLevel="0" collapsed="false"/>
    <row r="729" customFormat="false" ht="12.75" hidden="true" customHeight="false" outlineLevel="0" collapsed="false"/>
    <row r="730" customFormat="false" ht="12.75" hidden="true" customHeight="false" outlineLevel="0" collapsed="false"/>
    <row r="731" customFormat="false" ht="12.75" hidden="true" customHeight="false" outlineLevel="0" collapsed="false"/>
    <row r="732" customFormat="false" ht="12.75" hidden="true" customHeight="false" outlineLevel="0" collapsed="false"/>
    <row r="733" customFormat="false" ht="12.75" hidden="true" customHeight="false" outlineLevel="0" collapsed="false"/>
    <row r="734" customFormat="false" ht="12.75" hidden="true" customHeight="false" outlineLevel="0" collapsed="false"/>
    <row r="735" customFormat="false" ht="12.75" hidden="true" customHeight="false" outlineLevel="0" collapsed="false"/>
    <row r="736" customFormat="false" ht="12.75" hidden="true" customHeight="false" outlineLevel="0" collapsed="false"/>
    <row r="737" customFormat="false" ht="12.75" hidden="true" customHeight="false" outlineLevel="0" collapsed="false"/>
    <row r="738" customFormat="false" ht="12.75" hidden="true" customHeight="false" outlineLevel="0" collapsed="false"/>
    <row r="739" customFormat="false" ht="12.75" hidden="true" customHeight="false" outlineLevel="0" collapsed="false"/>
    <row r="740" customFormat="false" ht="12.75" hidden="true" customHeight="false" outlineLevel="0" collapsed="false"/>
    <row r="741" customFormat="false" ht="12.75" hidden="true" customHeight="false" outlineLevel="0" collapsed="false"/>
    <row r="742" customFormat="false" ht="12.75" hidden="true" customHeight="false" outlineLevel="0" collapsed="false"/>
    <row r="743" customFormat="false" ht="12.75" hidden="true" customHeight="false" outlineLevel="0" collapsed="false"/>
    <row r="744" customFormat="false" ht="12.75" hidden="true" customHeight="false" outlineLevel="0" collapsed="false"/>
    <row r="745" customFormat="false" ht="12.75" hidden="true" customHeight="false" outlineLevel="0" collapsed="false"/>
    <row r="746" customFormat="false" ht="12.75" hidden="true" customHeight="false" outlineLevel="0" collapsed="false"/>
    <row r="747" customFormat="false" ht="12.75" hidden="true" customHeight="false" outlineLevel="0" collapsed="false"/>
    <row r="748" customFormat="false" ht="12.75" hidden="true" customHeight="false" outlineLevel="0" collapsed="false"/>
    <row r="749" customFormat="false" ht="12.75" hidden="true" customHeight="false" outlineLevel="0" collapsed="false"/>
    <row r="750" customFormat="false" ht="12.75" hidden="true" customHeight="false" outlineLevel="0" collapsed="false"/>
    <row r="751" customFormat="false" ht="12.75" hidden="true" customHeight="false" outlineLevel="0" collapsed="false"/>
    <row r="752" customFormat="false" ht="12.75" hidden="true" customHeight="false" outlineLevel="0" collapsed="false"/>
    <row r="753" customFormat="false" ht="12.75" hidden="true" customHeight="false" outlineLevel="0" collapsed="false"/>
    <row r="754" customFormat="false" ht="12.75" hidden="true" customHeight="false" outlineLevel="0" collapsed="false"/>
    <row r="755" customFormat="false" ht="12.75" hidden="true" customHeight="false" outlineLevel="0" collapsed="false"/>
    <row r="756" customFormat="false" ht="12.75" hidden="true" customHeight="false" outlineLevel="0" collapsed="false"/>
    <row r="757" customFormat="false" ht="12.75" hidden="true" customHeight="false" outlineLevel="0" collapsed="false"/>
    <row r="758" customFormat="false" ht="12.75" hidden="true" customHeight="false" outlineLevel="0" collapsed="false"/>
    <row r="759" customFormat="false" ht="12.75" hidden="true" customHeight="false" outlineLevel="0" collapsed="false"/>
    <row r="760" customFormat="false" ht="12.75" hidden="true" customHeight="false" outlineLevel="0" collapsed="false"/>
    <row r="761" customFormat="false" ht="12.75" hidden="true" customHeight="false" outlineLevel="0" collapsed="false"/>
    <row r="762" customFormat="false" ht="12.75" hidden="true" customHeight="false" outlineLevel="0" collapsed="false"/>
    <row r="763" customFormat="false" ht="12.75" hidden="true" customHeight="false" outlineLevel="0" collapsed="false"/>
    <row r="764" customFormat="false" ht="12.75" hidden="true" customHeight="false" outlineLevel="0" collapsed="false"/>
    <row r="765" customFormat="false" ht="12.75" hidden="true" customHeight="false" outlineLevel="0" collapsed="false"/>
    <row r="766" customFormat="false" ht="12.75" hidden="true" customHeight="false" outlineLevel="0" collapsed="false"/>
    <row r="767" customFormat="false" ht="12.75" hidden="true" customHeight="false" outlineLevel="0" collapsed="false"/>
    <row r="768" customFormat="false" ht="12.75" hidden="true" customHeight="false" outlineLevel="0" collapsed="false"/>
    <row r="769" customFormat="false" ht="12.75" hidden="true" customHeight="false" outlineLevel="0" collapsed="false"/>
    <row r="770" customFormat="false" ht="12.75" hidden="true" customHeight="false" outlineLevel="0" collapsed="false"/>
    <row r="771" customFormat="false" ht="12.75" hidden="true" customHeight="false" outlineLevel="0" collapsed="false"/>
    <row r="772" customFormat="false" ht="12.75" hidden="true" customHeight="false" outlineLevel="0" collapsed="false"/>
    <row r="773" customFormat="false" ht="12.75" hidden="true" customHeight="false" outlineLevel="0" collapsed="false"/>
    <row r="774" customFormat="false" ht="12.75" hidden="true" customHeight="false" outlineLevel="0" collapsed="false"/>
    <row r="775" customFormat="false" ht="12.75" hidden="true" customHeight="false" outlineLevel="0" collapsed="false"/>
    <row r="776" customFormat="false" ht="12.75" hidden="true" customHeight="false" outlineLevel="0" collapsed="false"/>
    <row r="777" customFormat="false" ht="12.75" hidden="true" customHeight="false" outlineLevel="0" collapsed="false"/>
    <row r="778" customFormat="false" ht="12.75" hidden="true" customHeight="false" outlineLevel="0" collapsed="false"/>
    <row r="779" customFormat="false" ht="12.75" hidden="true" customHeight="false" outlineLevel="0" collapsed="false"/>
    <row r="780" customFormat="false" ht="12.75" hidden="true" customHeight="false" outlineLevel="0" collapsed="false"/>
    <row r="781" customFormat="false" ht="12.75" hidden="true" customHeight="false" outlineLevel="0" collapsed="false"/>
    <row r="782" customFormat="false" ht="12.75" hidden="true" customHeight="false" outlineLevel="0" collapsed="false"/>
    <row r="783" customFormat="false" ht="12.75" hidden="true" customHeight="false" outlineLevel="0" collapsed="false"/>
    <row r="784" customFormat="false" ht="12.75" hidden="true" customHeight="false" outlineLevel="0" collapsed="false"/>
    <row r="785" customFormat="false" ht="12.75" hidden="true" customHeight="false" outlineLevel="0" collapsed="false"/>
    <row r="786" customFormat="false" ht="12.75" hidden="true" customHeight="false" outlineLevel="0" collapsed="false"/>
    <row r="787" customFormat="false" ht="12.75" hidden="true" customHeight="false" outlineLevel="0" collapsed="false"/>
    <row r="788" customFormat="false" ht="12.75" hidden="true" customHeight="false" outlineLevel="0" collapsed="false"/>
    <row r="789" customFormat="false" ht="12.75" hidden="true" customHeight="false" outlineLevel="0" collapsed="false"/>
    <row r="790" customFormat="false" ht="12.75" hidden="true" customHeight="false" outlineLevel="0" collapsed="false"/>
    <row r="791" customFormat="false" ht="12.75" hidden="true" customHeight="false" outlineLevel="0" collapsed="false"/>
    <row r="792" customFormat="false" ht="12.75" hidden="true" customHeight="false" outlineLevel="0" collapsed="false"/>
    <row r="793" customFormat="false" ht="12.75" hidden="true" customHeight="false" outlineLevel="0" collapsed="false"/>
    <row r="794" customFormat="false" ht="12.75" hidden="true" customHeight="false" outlineLevel="0" collapsed="false"/>
    <row r="795" customFormat="false" ht="12.75" hidden="true" customHeight="false" outlineLevel="0" collapsed="false"/>
    <row r="796" customFormat="false" ht="12.75" hidden="true" customHeight="false" outlineLevel="0" collapsed="false"/>
    <row r="797" customFormat="false" ht="12.75" hidden="true" customHeight="false" outlineLevel="0" collapsed="false"/>
    <row r="798" customFormat="false" ht="12.75" hidden="true" customHeight="false" outlineLevel="0" collapsed="false"/>
    <row r="799" customFormat="false" ht="12.75" hidden="true" customHeight="false" outlineLevel="0" collapsed="false"/>
    <row r="800" customFormat="false" ht="12.75" hidden="true" customHeight="false" outlineLevel="0" collapsed="false"/>
    <row r="801" customFormat="false" ht="12.75" hidden="true" customHeight="false" outlineLevel="0" collapsed="false"/>
    <row r="802" customFormat="false" ht="12.75" hidden="true" customHeight="false" outlineLevel="0" collapsed="false"/>
    <row r="803" customFormat="false" ht="12.75" hidden="true" customHeight="false" outlineLevel="0" collapsed="false"/>
    <row r="804" customFormat="false" ht="12.75" hidden="true" customHeight="false" outlineLevel="0" collapsed="false"/>
    <row r="805" customFormat="false" ht="12.75" hidden="true" customHeight="false" outlineLevel="0" collapsed="false"/>
    <row r="806" customFormat="false" ht="12.75" hidden="true" customHeight="false" outlineLevel="0" collapsed="false"/>
    <row r="807" customFormat="false" ht="12.75" hidden="true" customHeight="false" outlineLevel="0" collapsed="false"/>
    <row r="808" customFormat="false" ht="12.75" hidden="true" customHeight="false" outlineLevel="0" collapsed="false"/>
    <row r="809" customFormat="false" ht="12.75" hidden="true" customHeight="false" outlineLevel="0" collapsed="false"/>
    <row r="810" customFormat="false" ht="12.75" hidden="true" customHeight="false" outlineLevel="0" collapsed="false"/>
    <row r="811" customFormat="false" ht="12.75" hidden="true" customHeight="false" outlineLevel="0" collapsed="false"/>
    <row r="812" customFormat="false" ht="12.75" hidden="true" customHeight="false" outlineLevel="0" collapsed="false"/>
    <row r="813" customFormat="false" ht="12.75" hidden="true" customHeight="false" outlineLevel="0" collapsed="false"/>
    <row r="814" customFormat="false" ht="12.75" hidden="true" customHeight="false" outlineLevel="0" collapsed="false"/>
    <row r="815" customFormat="false" ht="12.75" hidden="true" customHeight="false" outlineLevel="0" collapsed="false"/>
    <row r="816" customFormat="false" ht="12.75" hidden="true" customHeight="false" outlineLevel="0" collapsed="false"/>
    <row r="817" customFormat="false" ht="12.75" hidden="true" customHeight="false" outlineLevel="0" collapsed="false"/>
    <row r="818" customFormat="false" ht="12.75" hidden="true" customHeight="false" outlineLevel="0" collapsed="false"/>
    <row r="819" customFormat="false" ht="12.75" hidden="true" customHeight="false" outlineLevel="0" collapsed="false"/>
    <row r="820" customFormat="false" ht="12.75" hidden="true" customHeight="false" outlineLevel="0" collapsed="false"/>
    <row r="821" customFormat="false" ht="12.75" hidden="true" customHeight="false" outlineLevel="0" collapsed="false"/>
    <row r="822" customFormat="false" ht="12.75" hidden="true" customHeight="false" outlineLevel="0" collapsed="false"/>
    <row r="823" customFormat="false" ht="12.75" hidden="true" customHeight="false" outlineLevel="0" collapsed="false"/>
    <row r="824" customFormat="false" ht="12.75" hidden="true" customHeight="false" outlineLevel="0" collapsed="false"/>
    <row r="825" customFormat="false" ht="12.75" hidden="true" customHeight="false" outlineLevel="0" collapsed="false"/>
    <row r="826" customFormat="false" ht="12.75" hidden="true" customHeight="false" outlineLevel="0" collapsed="false"/>
    <row r="827" customFormat="false" ht="12.75" hidden="true" customHeight="false" outlineLevel="0" collapsed="false"/>
    <row r="828" customFormat="false" ht="12.75" hidden="true" customHeight="false" outlineLevel="0" collapsed="false"/>
    <row r="829" customFormat="false" ht="12.75" hidden="true" customHeight="false" outlineLevel="0" collapsed="false"/>
    <row r="830" customFormat="false" ht="12.75" hidden="true" customHeight="false" outlineLevel="0" collapsed="false"/>
    <row r="831" customFormat="false" ht="12.75" hidden="true" customHeight="false" outlineLevel="0" collapsed="false"/>
    <row r="832" customFormat="false" ht="12.75" hidden="true" customHeight="false" outlineLevel="0" collapsed="false"/>
    <row r="833" customFormat="false" ht="12.75" hidden="true" customHeight="false" outlineLevel="0" collapsed="false"/>
    <row r="834" customFormat="false" ht="12.75" hidden="true" customHeight="false" outlineLevel="0" collapsed="false"/>
    <row r="835" customFormat="false" ht="12.75" hidden="true" customHeight="false" outlineLevel="0" collapsed="false"/>
    <row r="836" customFormat="false" ht="12.75" hidden="true" customHeight="false" outlineLevel="0" collapsed="false"/>
    <row r="837" customFormat="false" ht="12.75" hidden="true" customHeight="false" outlineLevel="0" collapsed="false"/>
    <row r="838" customFormat="false" ht="12.75" hidden="true" customHeight="false" outlineLevel="0" collapsed="false"/>
    <row r="839" customFormat="false" ht="12.75" hidden="true" customHeight="false" outlineLevel="0" collapsed="false"/>
    <row r="840" customFormat="false" ht="12.75" hidden="true" customHeight="false" outlineLevel="0" collapsed="false"/>
    <row r="841" customFormat="false" ht="12.75" hidden="true" customHeight="false" outlineLevel="0" collapsed="false"/>
    <row r="842" customFormat="false" ht="12.75" hidden="true" customHeight="false" outlineLevel="0" collapsed="false"/>
    <row r="843" customFormat="false" ht="12.75" hidden="true" customHeight="false" outlineLevel="0" collapsed="false"/>
    <row r="844" customFormat="false" ht="12.75" hidden="true" customHeight="false" outlineLevel="0" collapsed="false"/>
    <row r="845" customFormat="false" ht="12.75" hidden="true" customHeight="false" outlineLevel="0" collapsed="false"/>
    <row r="846" customFormat="false" ht="12.75" hidden="true" customHeight="false" outlineLevel="0" collapsed="false"/>
    <row r="847" customFormat="false" ht="12.75" hidden="true" customHeight="false" outlineLevel="0" collapsed="false"/>
    <row r="848" customFormat="false" ht="12.75" hidden="true" customHeight="false" outlineLevel="0" collapsed="false"/>
    <row r="849" customFormat="false" ht="12.75" hidden="true" customHeight="false" outlineLevel="0" collapsed="false"/>
    <row r="850" customFormat="false" ht="12.75" hidden="true" customHeight="false" outlineLevel="0" collapsed="false"/>
    <row r="851" customFormat="false" ht="12.75" hidden="true" customHeight="false" outlineLevel="0" collapsed="false"/>
    <row r="852" customFormat="false" ht="12.75" hidden="true" customHeight="false" outlineLevel="0" collapsed="false"/>
    <row r="853" customFormat="false" ht="12.75" hidden="true" customHeight="false" outlineLevel="0" collapsed="false"/>
    <row r="854" customFormat="false" ht="12.75" hidden="true" customHeight="false" outlineLevel="0" collapsed="false"/>
    <row r="855" customFormat="false" ht="12.75" hidden="true" customHeight="false" outlineLevel="0" collapsed="false"/>
    <row r="856" customFormat="false" ht="12.75" hidden="true" customHeight="false" outlineLevel="0" collapsed="false"/>
    <row r="857" customFormat="false" ht="12.75" hidden="true" customHeight="false" outlineLevel="0" collapsed="false"/>
    <row r="858" customFormat="false" ht="12.75" hidden="true" customHeight="false" outlineLevel="0" collapsed="false"/>
    <row r="859" customFormat="false" ht="12.75" hidden="true" customHeight="false" outlineLevel="0" collapsed="false"/>
    <row r="860" customFormat="false" ht="12.75" hidden="true" customHeight="false" outlineLevel="0" collapsed="false"/>
    <row r="861" customFormat="false" ht="12.75" hidden="true" customHeight="false" outlineLevel="0" collapsed="false"/>
    <row r="862" customFormat="false" ht="12.75" hidden="true" customHeight="false" outlineLevel="0" collapsed="false"/>
    <row r="863" customFormat="false" ht="12.75" hidden="true" customHeight="false" outlineLevel="0" collapsed="false"/>
    <row r="864" customFormat="false" ht="12.75" hidden="true" customHeight="false" outlineLevel="0" collapsed="false"/>
    <row r="865" customFormat="false" ht="12.75" hidden="true" customHeight="false" outlineLevel="0" collapsed="false"/>
    <row r="866" customFormat="false" ht="12.75" hidden="true" customHeight="false" outlineLevel="0" collapsed="false"/>
    <row r="867" customFormat="false" ht="12.75" hidden="true" customHeight="false" outlineLevel="0" collapsed="false"/>
    <row r="868" customFormat="false" ht="12.75" hidden="true" customHeight="false" outlineLevel="0" collapsed="false"/>
    <row r="869" customFormat="false" ht="12.75" hidden="true" customHeight="false" outlineLevel="0" collapsed="false"/>
    <row r="870" customFormat="false" ht="12.75" hidden="true" customHeight="false" outlineLevel="0" collapsed="false"/>
    <row r="871" customFormat="false" ht="12.75" hidden="true" customHeight="false" outlineLevel="0" collapsed="false"/>
    <row r="872" customFormat="false" ht="12.75" hidden="true" customHeight="false" outlineLevel="0" collapsed="false"/>
    <row r="873" customFormat="false" ht="12.75" hidden="true" customHeight="false" outlineLevel="0" collapsed="false"/>
    <row r="874" customFormat="false" ht="12.75" hidden="true" customHeight="false" outlineLevel="0" collapsed="false"/>
    <row r="875" customFormat="false" ht="12.75" hidden="true" customHeight="false" outlineLevel="0" collapsed="false"/>
    <row r="876" customFormat="false" ht="12.75" hidden="true" customHeight="false" outlineLevel="0" collapsed="false"/>
    <row r="877" customFormat="false" ht="12.75" hidden="true" customHeight="false" outlineLevel="0" collapsed="false"/>
    <row r="878" customFormat="false" ht="12.75" hidden="true" customHeight="false" outlineLevel="0" collapsed="false"/>
    <row r="879" customFormat="false" ht="12.75" hidden="true" customHeight="false" outlineLevel="0" collapsed="false"/>
    <row r="880" customFormat="false" ht="12.75" hidden="true" customHeight="false" outlineLevel="0" collapsed="false"/>
    <row r="881" customFormat="false" ht="12.75" hidden="true" customHeight="false" outlineLevel="0" collapsed="false"/>
    <row r="882" customFormat="false" ht="12.75" hidden="true" customHeight="false" outlineLevel="0" collapsed="false"/>
    <row r="883" customFormat="false" ht="12.75" hidden="true" customHeight="false" outlineLevel="0" collapsed="false"/>
    <row r="884" customFormat="false" ht="12.75" hidden="true" customHeight="false" outlineLevel="0" collapsed="false"/>
    <row r="885" customFormat="false" ht="12.75" hidden="true" customHeight="false" outlineLevel="0" collapsed="false"/>
    <row r="886" customFormat="false" ht="12.75" hidden="true" customHeight="false" outlineLevel="0" collapsed="false"/>
    <row r="887" customFormat="false" ht="12.75" hidden="true" customHeight="false" outlineLevel="0" collapsed="false"/>
    <row r="888" customFormat="false" ht="12.75" hidden="true" customHeight="false" outlineLevel="0" collapsed="false"/>
    <row r="889" customFormat="false" ht="12.75" hidden="true" customHeight="false" outlineLevel="0" collapsed="false"/>
    <row r="890" customFormat="false" ht="12.75" hidden="true" customHeight="false" outlineLevel="0" collapsed="false"/>
    <row r="891" customFormat="false" ht="12.75" hidden="true" customHeight="false" outlineLevel="0" collapsed="false"/>
    <row r="892" customFormat="false" ht="12.75" hidden="true" customHeight="false" outlineLevel="0" collapsed="false"/>
    <row r="893" customFormat="false" ht="12.75" hidden="true" customHeight="false" outlineLevel="0" collapsed="false"/>
    <row r="894" customFormat="false" ht="12.75" hidden="true" customHeight="false" outlineLevel="0" collapsed="false"/>
    <row r="895" customFormat="false" ht="12.75" hidden="true" customHeight="false" outlineLevel="0" collapsed="false"/>
    <row r="896" customFormat="false" ht="12.75" hidden="true" customHeight="false" outlineLevel="0" collapsed="false"/>
    <row r="897" customFormat="false" ht="12.75" hidden="true" customHeight="false" outlineLevel="0" collapsed="false"/>
    <row r="898" customFormat="false" ht="12.75" hidden="true" customHeight="false" outlineLevel="0" collapsed="false"/>
    <row r="899" customFormat="false" ht="12.75" hidden="true" customHeight="false" outlineLevel="0" collapsed="false"/>
    <row r="900" customFormat="false" ht="12.75" hidden="true" customHeight="false" outlineLevel="0" collapsed="false"/>
    <row r="901" customFormat="false" ht="12.75" hidden="true" customHeight="false" outlineLevel="0" collapsed="false"/>
    <row r="902" customFormat="false" ht="12.75" hidden="true" customHeight="false" outlineLevel="0" collapsed="false"/>
    <row r="903" customFormat="false" ht="12.75" hidden="true" customHeight="false" outlineLevel="0" collapsed="false"/>
    <row r="904" customFormat="false" ht="12.75" hidden="true" customHeight="false" outlineLevel="0" collapsed="false"/>
    <row r="905" customFormat="false" ht="12.75" hidden="true" customHeight="false" outlineLevel="0" collapsed="false"/>
    <row r="906" customFormat="false" ht="12.75" hidden="true" customHeight="false" outlineLevel="0" collapsed="false"/>
    <row r="907" customFormat="false" ht="12.75" hidden="true" customHeight="false" outlineLevel="0" collapsed="false"/>
    <row r="908" customFormat="false" ht="12.75" hidden="true" customHeight="false" outlineLevel="0" collapsed="false"/>
    <row r="909" customFormat="false" ht="12.75" hidden="true" customHeight="false" outlineLevel="0" collapsed="false"/>
    <row r="910" customFormat="false" ht="12.75" hidden="true" customHeight="false" outlineLevel="0" collapsed="false"/>
    <row r="911" customFormat="false" ht="12.75" hidden="true" customHeight="false" outlineLevel="0" collapsed="false"/>
    <row r="912" customFormat="false" ht="12.75" hidden="true" customHeight="false" outlineLevel="0" collapsed="false"/>
    <row r="913" customFormat="false" ht="12.75" hidden="true" customHeight="false" outlineLevel="0" collapsed="false"/>
    <row r="914" customFormat="false" ht="12.75" hidden="true" customHeight="false" outlineLevel="0" collapsed="false"/>
    <row r="915" customFormat="false" ht="12.75" hidden="true" customHeight="false" outlineLevel="0" collapsed="false"/>
    <row r="916" customFormat="false" ht="12.75" hidden="true" customHeight="false" outlineLevel="0" collapsed="false"/>
    <row r="917" customFormat="false" ht="12.75" hidden="true" customHeight="false" outlineLevel="0" collapsed="false"/>
    <row r="918" customFormat="false" ht="12.75" hidden="true" customHeight="false" outlineLevel="0" collapsed="false"/>
    <row r="919" customFormat="false" ht="12.75" hidden="true" customHeight="false" outlineLevel="0" collapsed="false"/>
    <row r="920" customFormat="false" ht="12.75" hidden="true" customHeight="false" outlineLevel="0" collapsed="false"/>
    <row r="921" customFormat="false" ht="12.75" hidden="true" customHeight="false" outlineLevel="0" collapsed="false"/>
    <row r="922" customFormat="false" ht="12.75" hidden="true" customHeight="false" outlineLevel="0" collapsed="false"/>
    <row r="923" customFormat="false" ht="12.75" hidden="true" customHeight="false" outlineLevel="0" collapsed="false"/>
    <row r="924" customFormat="false" ht="12.75" hidden="true" customHeight="false" outlineLevel="0" collapsed="false"/>
    <row r="925" customFormat="false" ht="12.75" hidden="true" customHeight="false" outlineLevel="0" collapsed="false"/>
    <row r="926" customFormat="false" ht="12.75" hidden="true" customHeight="false" outlineLevel="0" collapsed="false"/>
    <row r="927" customFormat="false" ht="12.75" hidden="true" customHeight="false" outlineLevel="0" collapsed="false"/>
    <row r="928" customFormat="false" ht="12.75" hidden="true" customHeight="false" outlineLevel="0" collapsed="false"/>
    <row r="929" customFormat="false" ht="12.75" hidden="true" customHeight="false" outlineLevel="0" collapsed="false"/>
    <row r="930" customFormat="false" ht="12.75" hidden="true" customHeight="false" outlineLevel="0" collapsed="false"/>
    <row r="931" customFormat="false" ht="12.75" hidden="true" customHeight="false" outlineLevel="0" collapsed="false"/>
    <row r="932" customFormat="false" ht="12.75" hidden="true" customHeight="false" outlineLevel="0" collapsed="false"/>
    <row r="933" customFormat="false" ht="12.75" hidden="true" customHeight="false" outlineLevel="0" collapsed="false"/>
    <row r="934" customFormat="false" ht="12.75" hidden="true" customHeight="false" outlineLevel="0" collapsed="false"/>
    <row r="935" customFormat="false" ht="12.75" hidden="true" customHeight="false" outlineLevel="0" collapsed="false"/>
    <row r="936" customFormat="false" ht="12.75" hidden="true" customHeight="false" outlineLevel="0" collapsed="false"/>
    <row r="937" customFormat="false" ht="12.75" hidden="true" customHeight="false" outlineLevel="0" collapsed="false"/>
    <row r="938" customFormat="false" ht="12.75" hidden="true" customHeight="false" outlineLevel="0" collapsed="false"/>
    <row r="939" customFormat="false" ht="12.75" hidden="true" customHeight="false" outlineLevel="0" collapsed="false"/>
    <row r="940" customFormat="false" ht="12.75" hidden="true" customHeight="false" outlineLevel="0" collapsed="false"/>
    <row r="941" customFormat="false" ht="12.75" hidden="true" customHeight="false" outlineLevel="0" collapsed="false"/>
    <row r="942" customFormat="false" ht="12.75" hidden="true" customHeight="false" outlineLevel="0" collapsed="false"/>
    <row r="943" customFormat="false" ht="12.75" hidden="true" customHeight="false" outlineLevel="0" collapsed="false"/>
    <row r="944" customFormat="false" ht="12.75" hidden="true" customHeight="false" outlineLevel="0" collapsed="false"/>
    <row r="945" customFormat="false" ht="12.75" hidden="true" customHeight="false" outlineLevel="0" collapsed="false"/>
    <row r="946" customFormat="false" ht="12.75" hidden="true" customHeight="false" outlineLevel="0" collapsed="false"/>
    <row r="947" customFormat="false" ht="12.75" hidden="true" customHeight="false" outlineLevel="0" collapsed="false"/>
    <row r="948" customFormat="false" ht="12.75" hidden="true" customHeight="false" outlineLevel="0" collapsed="false"/>
    <row r="949" customFormat="false" ht="12.75" hidden="true" customHeight="false" outlineLevel="0" collapsed="false"/>
    <row r="950" customFormat="false" ht="12.75" hidden="true" customHeight="false" outlineLevel="0" collapsed="false"/>
    <row r="951" customFormat="false" ht="12.75" hidden="true" customHeight="false" outlineLevel="0" collapsed="false"/>
    <row r="952" customFormat="false" ht="12.75" hidden="true" customHeight="false" outlineLevel="0" collapsed="false"/>
    <row r="953" customFormat="false" ht="12.75" hidden="true" customHeight="false" outlineLevel="0" collapsed="false"/>
    <row r="954" customFormat="false" ht="12.75" hidden="true" customHeight="false" outlineLevel="0" collapsed="false"/>
    <row r="955" customFormat="false" ht="12.75" hidden="true" customHeight="false" outlineLevel="0" collapsed="false"/>
    <row r="956" customFormat="false" ht="12.75" hidden="true" customHeight="false" outlineLevel="0" collapsed="false"/>
    <row r="957" customFormat="false" ht="12.75" hidden="true" customHeight="false" outlineLevel="0" collapsed="false"/>
    <row r="958" customFormat="false" ht="12.75" hidden="true" customHeight="false" outlineLevel="0" collapsed="false"/>
    <row r="959" customFormat="false" ht="12.75" hidden="true" customHeight="false" outlineLevel="0" collapsed="false"/>
    <row r="960" customFormat="false" ht="12.75" hidden="true" customHeight="false" outlineLevel="0" collapsed="false"/>
    <row r="961" customFormat="false" ht="12.75" hidden="true" customHeight="false" outlineLevel="0" collapsed="false"/>
    <row r="962" customFormat="false" ht="12.75" hidden="true" customHeight="false" outlineLevel="0" collapsed="false"/>
    <row r="963" customFormat="false" ht="12.75" hidden="true" customHeight="false" outlineLevel="0" collapsed="false"/>
    <row r="964" customFormat="false" ht="12.75" hidden="true" customHeight="false" outlineLevel="0" collapsed="false"/>
    <row r="965" customFormat="false" ht="12.75" hidden="true" customHeight="false" outlineLevel="0" collapsed="false"/>
    <row r="966" customFormat="false" ht="12.75" hidden="true" customHeight="false" outlineLevel="0" collapsed="false"/>
    <row r="967" customFormat="false" ht="12.75" hidden="true" customHeight="false" outlineLevel="0" collapsed="false"/>
    <row r="968" customFormat="false" ht="12.75" hidden="true" customHeight="false" outlineLevel="0" collapsed="false"/>
    <row r="969" customFormat="false" ht="12.75" hidden="true" customHeight="false" outlineLevel="0" collapsed="false"/>
    <row r="970" customFormat="false" ht="12.75" hidden="true" customHeight="false" outlineLevel="0" collapsed="false"/>
    <row r="971" customFormat="false" ht="12.75" hidden="true" customHeight="false" outlineLevel="0" collapsed="false"/>
    <row r="972" customFormat="false" ht="12.75" hidden="true" customHeight="false" outlineLevel="0" collapsed="false"/>
    <row r="973" customFormat="false" ht="12.75" hidden="true" customHeight="false" outlineLevel="0" collapsed="false"/>
    <row r="974" customFormat="false" ht="12.75" hidden="true" customHeight="false" outlineLevel="0" collapsed="false"/>
    <row r="975" customFormat="false" ht="12.75" hidden="true" customHeight="false" outlineLevel="0" collapsed="false"/>
    <row r="976" customFormat="false" ht="12.75" hidden="true" customHeight="false" outlineLevel="0" collapsed="false"/>
    <row r="977" customFormat="false" ht="12.75" hidden="true" customHeight="false" outlineLevel="0" collapsed="false"/>
    <row r="978" customFormat="false" ht="12.75" hidden="true" customHeight="false" outlineLevel="0" collapsed="false"/>
    <row r="979" customFormat="false" ht="12.75" hidden="true" customHeight="false" outlineLevel="0" collapsed="false"/>
    <row r="980" customFormat="false" ht="12.75" hidden="true" customHeight="false" outlineLevel="0" collapsed="false"/>
    <row r="981" customFormat="false" ht="12.75" hidden="true" customHeight="false" outlineLevel="0" collapsed="false"/>
    <row r="982" customFormat="false" ht="12.75" hidden="true" customHeight="false" outlineLevel="0" collapsed="false"/>
    <row r="983" customFormat="false" ht="12.75" hidden="true" customHeight="false" outlineLevel="0" collapsed="false"/>
    <row r="984" customFormat="false" ht="12.75" hidden="true" customHeight="false" outlineLevel="0" collapsed="false"/>
    <row r="985" customFormat="false" ht="12.75" hidden="true" customHeight="false" outlineLevel="0" collapsed="false"/>
    <row r="986" customFormat="false" ht="12.75" hidden="true" customHeight="false" outlineLevel="0" collapsed="false"/>
    <row r="987" customFormat="false" ht="12.75" hidden="true" customHeight="false" outlineLevel="0" collapsed="false"/>
    <row r="988" customFormat="false" ht="12.75" hidden="true" customHeight="false" outlineLevel="0" collapsed="false"/>
    <row r="989" customFormat="false" ht="12.75" hidden="true" customHeight="false" outlineLevel="0" collapsed="false"/>
    <row r="990" customFormat="false" ht="12.75" hidden="true" customHeight="false" outlineLevel="0" collapsed="false"/>
    <row r="991" customFormat="false" ht="12.75" hidden="true" customHeight="false" outlineLevel="0" collapsed="false"/>
    <row r="992" customFormat="false" ht="12.75" hidden="true" customHeight="false" outlineLevel="0" collapsed="false"/>
    <row r="993" customFormat="false" ht="12.75" hidden="true" customHeight="false" outlineLevel="0" collapsed="false"/>
    <row r="994" customFormat="false" ht="12.75" hidden="true" customHeight="false" outlineLevel="0" collapsed="false"/>
    <row r="995" customFormat="false" ht="12.75" hidden="true" customHeight="false" outlineLevel="0" collapsed="false"/>
    <row r="996" customFormat="false" ht="12.75" hidden="true" customHeight="false" outlineLevel="0" collapsed="false"/>
    <row r="997" customFormat="false" ht="12.75" hidden="true" customHeight="false" outlineLevel="0" collapsed="false"/>
    <row r="998" customFormat="false" ht="12.75" hidden="true" customHeight="false" outlineLevel="0" collapsed="false"/>
    <row r="999" customFormat="false" ht="12.75" hidden="true" customHeight="false" outlineLevel="0" collapsed="false"/>
    <row r="1000" customFormat="false" ht="12.75" hidden="true" customHeight="false" outlineLevel="0" collapsed="false"/>
    <row r="1001" customFormat="false" ht="12.75" hidden="true" customHeight="false" outlineLevel="0" collapsed="false"/>
    <row r="1002" customFormat="false" ht="12.75" hidden="true" customHeight="false" outlineLevel="0" collapsed="false"/>
    <row r="1003" customFormat="false" ht="12.75" hidden="true" customHeight="false" outlineLevel="0" collapsed="false"/>
    <row r="1004" customFormat="false" ht="12.75" hidden="true" customHeight="false" outlineLevel="0" collapsed="false"/>
    <row r="1005" customFormat="false" ht="12.75" hidden="true" customHeight="false" outlineLevel="0" collapsed="false"/>
    <row r="1006" customFormat="false" ht="12.75" hidden="true" customHeight="false" outlineLevel="0" collapsed="false"/>
    <row r="1007" customFormat="false" ht="12.75" hidden="true" customHeight="false" outlineLevel="0" collapsed="false"/>
    <row r="1008" customFormat="false" ht="12.75" hidden="true" customHeight="false" outlineLevel="0" collapsed="false"/>
    <row r="1009" customFormat="false" ht="12.75" hidden="true" customHeight="false" outlineLevel="0" collapsed="false"/>
    <row r="1010" customFormat="false" ht="12.75" hidden="true" customHeight="false" outlineLevel="0" collapsed="false"/>
    <row r="1011" customFormat="false" ht="12.75" hidden="true" customHeight="false" outlineLevel="0" collapsed="false"/>
    <row r="1012" customFormat="false" ht="12.75" hidden="true" customHeight="false" outlineLevel="0" collapsed="false"/>
    <row r="1013" customFormat="false" ht="12.75" hidden="true" customHeight="false" outlineLevel="0" collapsed="false"/>
    <row r="1014" customFormat="false" ht="12.75" hidden="true" customHeight="false" outlineLevel="0" collapsed="false"/>
    <row r="1015" customFormat="false" ht="12.75" hidden="true" customHeight="false" outlineLevel="0" collapsed="false"/>
    <row r="1016" customFormat="false" ht="12.75" hidden="true" customHeight="false" outlineLevel="0" collapsed="false"/>
    <row r="1017" customFormat="false" ht="12.75" hidden="true" customHeight="false" outlineLevel="0" collapsed="false"/>
    <row r="1018" customFormat="false" ht="12.75" hidden="true" customHeight="false" outlineLevel="0" collapsed="false"/>
    <row r="1019" customFormat="false" ht="12.75" hidden="true" customHeight="false" outlineLevel="0" collapsed="false"/>
    <row r="1020" customFormat="false" ht="12.75" hidden="true" customHeight="false" outlineLevel="0" collapsed="false"/>
    <row r="1021" customFormat="false" ht="12.75" hidden="true" customHeight="false" outlineLevel="0" collapsed="false"/>
    <row r="1022" customFormat="false" ht="12.75" hidden="true" customHeight="false" outlineLevel="0" collapsed="false"/>
    <row r="1023" customFormat="false" ht="12.75" hidden="true" customHeight="false" outlineLevel="0" collapsed="false"/>
    <row r="1024" customFormat="false" ht="12.75" hidden="true" customHeight="false" outlineLevel="0" collapsed="false"/>
    <row r="1025" customFormat="false" ht="12.75" hidden="true" customHeight="false" outlineLevel="0" collapsed="false"/>
    <row r="1026" customFormat="false" ht="12.75" hidden="true" customHeight="false" outlineLevel="0" collapsed="false"/>
    <row r="1027" customFormat="false" ht="12.75" hidden="true" customHeight="false" outlineLevel="0" collapsed="false"/>
    <row r="1028" customFormat="false" ht="12.75" hidden="true" customHeight="false" outlineLevel="0" collapsed="false"/>
    <row r="1029" customFormat="false" ht="12.75" hidden="true" customHeight="false" outlineLevel="0" collapsed="false"/>
    <row r="1030" customFormat="false" ht="12.75" hidden="true" customHeight="false" outlineLevel="0" collapsed="false"/>
    <row r="1031" customFormat="false" ht="12.75" hidden="true" customHeight="false" outlineLevel="0" collapsed="false"/>
    <row r="1032" customFormat="false" ht="12.75" hidden="true" customHeight="false" outlineLevel="0" collapsed="false"/>
    <row r="1033" customFormat="false" ht="12.75" hidden="true" customHeight="false" outlineLevel="0" collapsed="false"/>
    <row r="1034" customFormat="false" ht="12.75" hidden="true" customHeight="false" outlineLevel="0" collapsed="false"/>
    <row r="1035" customFormat="false" ht="12.75" hidden="true" customHeight="false" outlineLevel="0" collapsed="false"/>
    <row r="1036" customFormat="false" ht="12.75" hidden="true" customHeight="false" outlineLevel="0" collapsed="false"/>
    <row r="1037" customFormat="false" ht="12.75" hidden="true" customHeight="false" outlineLevel="0" collapsed="false"/>
    <row r="1038" customFormat="false" ht="12.75" hidden="true" customHeight="false" outlineLevel="0" collapsed="false"/>
    <row r="1039" customFormat="false" ht="12.75" hidden="true" customHeight="false" outlineLevel="0" collapsed="false"/>
    <row r="1040" customFormat="false" ht="12.75" hidden="true" customHeight="false" outlineLevel="0" collapsed="false"/>
    <row r="1041" customFormat="false" ht="12.75" hidden="true" customHeight="false" outlineLevel="0" collapsed="false"/>
    <row r="1042" customFormat="false" ht="12.75" hidden="true" customHeight="false" outlineLevel="0" collapsed="false"/>
    <row r="1043" customFormat="false" ht="12.75" hidden="true" customHeight="false" outlineLevel="0" collapsed="false"/>
    <row r="1044" customFormat="false" ht="12.75" hidden="true" customHeight="false" outlineLevel="0" collapsed="false"/>
    <row r="1045" customFormat="false" ht="12.75" hidden="true" customHeight="false" outlineLevel="0" collapsed="false"/>
    <row r="1046" customFormat="false" ht="12.75" hidden="true" customHeight="false" outlineLevel="0" collapsed="false"/>
    <row r="1047" customFormat="false" ht="12.75" hidden="true" customHeight="false" outlineLevel="0" collapsed="false"/>
    <row r="1048" customFormat="false" ht="12.75" hidden="true" customHeight="false" outlineLevel="0" collapsed="false"/>
    <row r="1049" customFormat="false" ht="12.75" hidden="true" customHeight="false" outlineLevel="0" collapsed="false"/>
    <row r="1050" customFormat="false" ht="12.75" hidden="true" customHeight="false" outlineLevel="0" collapsed="false"/>
    <row r="1051" customFormat="false" ht="12.75" hidden="true" customHeight="false" outlineLevel="0" collapsed="false"/>
    <row r="1052" customFormat="false" ht="12.75" hidden="true" customHeight="false" outlineLevel="0" collapsed="false"/>
    <row r="1053" customFormat="false" ht="12.75" hidden="true" customHeight="false" outlineLevel="0" collapsed="false"/>
    <row r="1054" customFormat="false" ht="12.75" hidden="true" customHeight="false" outlineLevel="0" collapsed="false"/>
    <row r="1055" customFormat="false" ht="12.75" hidden="true" customHeight="false" outlineLevel="0" collapsed="false"/>
    <row r="1056" customFormat="false" ht="12.75" hidden="true" customHeight="false" outlineLevel="0" collapsed="false"/>
  </sheetData>
  <autoFilter ref="A1:CF1056">
    <filterColumn colId="2">
      <customFilters and="true">
        <customFilter operator="equal" val="All"/>
      </customFilters>
    </filterColumn>
  </autoFilter>
  <conditionalFormatting sqref="A2:CF105">
    <cfRule type="expression" priority="2" aboveAverage="0" equalAverage="0" bottom="0" percent="0" rank="0" text="" dxfId="8">
      <formula>$D2="Mean"</formula>
    </cfRule>
  </conditionalFormatting>
  <conditionalFormatting sqref="A2:CF105">
    <cfRule type="expression" priority="3" aboveAverage="0" equalAverage="0" bottom="0" percent="0" rank="0" text="" dxfId="9">
      <formula>$D2="Variance"</formula>
    </cfRule>
  </conditionalFormatting>
  <conditionalFormatting sqref="A2:CF105">
    <cfRule type="expression" priority="4" aboveAverage="0" equalAverage="0" bottom="0" percent="0" rank="0" text="" dxfId="10">
      <formula>$D2="Covariance"</formula>
    </cfRule>
  </conditionalFormatting>
  <conditionalFormatting sqref="A2:CF105">
    <cfRule type="expression" priority="5" aboveAverage="0" equalAverage="0" bottom="0" percent="0" rank="0" text="" dxfId="11">
      <formula>$D2="Standard Deviation"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2021-01-14T06:41:14Z</dcterms:created>
  <dc:creator/>
  <dc:description/>
  <dc:language>en-US</dc:language>
  <cp:lastModifiedBy/>
  <dcterms:modified xsi:type="dcterms:W3CDTF">2021-02-12T15:14:50Z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